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saac\Dropbox\Respaldo\CUAED (2020)\Enero\ua_autorregulacion_22may19\anexos\archivos\"/>
    </mc:Choice>
  </mc:AlternateContent>
  <xr:revisionPtr revIDLastSave="0" documentId="13_ncr:1_{D9DD7655-E813-4842-8E8E-454F76D504A3}" xr6:coauthVersionLast="43" xr6:coauthVersionMax="43" xr10:uidLastSave="{00000000-0000-0000-0000-000000000000}"/>
  <bookViews>
    <workbookView xWindow="-120" yWindow="-120" windowWidth="20730" windowHeight="11160" tabRatio="690" firstSheet="1" activeTab="11" xr2:uid="{00000000-000D-0000-FFFF-FFFF00000000}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Enero!$P$2</definedName>
    <definedName name="_xlnm.Print_Area" localSheetId="3">Abril!$A$1:$M$50</definedName>
    <definedName name="_xlnm.Print_Area" localSheetId="7">Agosto!$A$1:$M$50</definedName>
    <definedName name="_xlnm.Print_Area" localSheetId="11">Diciembre!$A$1:$M$50</definedName>
    <definedName name="_xlnm.Print_Area" localSheetId="0">Enero!$A$1:$O$50</definedName>
    <definedName name="_xlnm.Print_Area" localSheetId="1">Febrero!$A$1:$M$50</definedName>
    <definedName name="_xlnm.Print_Area" localSheetId="6">Julio!$A$1:$M$50</definedName>
    <definedName name="_xlnm.Print_Area" localSheetId="5">Junio!$A$1:$M$50</definedName>
    <definedName name="_xlnm.Print_Area" localSheetId="2">Marzo!$A$1:$M$50</definedName>
    <definedName name="_xlnm.Print_Area" localSheetId="4">Mayo!$A$1:$M$50</definedName>
    <definedName name="_xlnm.Print_Area" localSheetId="10">Noviembre!$A$1:$M$50</definedName>
    <definedName name="_xlnm.Print_Area" localSheetId="9">Octubre!$A$1:$M$50</definedName>
    <definedName name="_xlnm.Print_Area" localSheetId="8">Septiembre!$A$1:$M$50</definedName>
    <definedName name="DíasDeTareas" localSheetId="3">Abril!$L$4:$L$33</definedName>
    <definedName name="DíasDeTareas" localSheetId="7">Agosto!$L$4:$L$33</definedName>
    <definedName name="DíasDeTareas" localSheetId="11">Diciembre!$L$4:$L$33</definedName>
    <definedName name="DíasDeTareas" localSheetId="1">Febrero!$L$4:$L$33</definedName>
    <definedName name="DíasDeTareas" localSheetId="6">Julio!$L$4:$L$33</definedName>
    <definedName name="DíasDeTareas" localSheetId="5">Junio!$L$4:$L$33</definedName>
    <definedName name="DíasDeTareas" localSheetId="2">Marzo!$L$4:$L$33</definedName>
    <definedName name="DíasDeTareas" localSheetId="4">Mayo!$L$4:$L$33</definedName>
    <definedName name="DíasDeTareas" localSheetId="10">Noviembre!$L$4:$L$33</definedName>
    <definedName name="DíasDeTareas" localSheetId="9">Octubre!$L$4:$L$33</definedName>
    <definedName name="DíasDeTareas" localSheetId="8">Septiembre!$L$4:$L$33</definedName>
    <definedName name="DíasDeTareas">Enero!$N$4:$N$33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Abril!$L$4:$M$8</definedName>
    <definedName name="TablaFechasImportantes" localSheetId="7">Agosto!$L$4:$M$8</definedName>
    <definedName name="TablaFechasImportantes" localSheetId="11">Diciembre!$L$4:$M$8</definedName>
    <definedName name="TablaFechasImportantes" localSheetId="1">Febrero!$L$4:$M$8</definedName>
    <definedName name="TablaFechasImportantes" localSheetId="6">Julio!$L$4:$M$8</definedName>
    <definedName name="TablaFechasImportantes" localSheetId="5">Junio!$L$4:$M$8</definedName>
    <definedName name="TablaFechasImportantes" localSheetId="2">Marzo!$L$4:$M$8</definedName>
    <definedName name="TablaFechasImportantes" localSheetId="4">Mayo!$L$4:$M$8</definedName>
    <definedName name="TablaFechasImportantes" localSheetId="10">Noviembre!$L$4:$M$8</definedName>
    <definedName name="TablaFechasImportantes" localSheetId="9">Octubre!$L$4:$M$8</definedName>
    <definedName name="TablaFechasImportantes" localSheetId="8">Septiembre!$L$4:$M$8</definedName>
    <definedName name="TablaFechasImportantes">Enero!$N$4:$O$8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<sst xmlns="http://schemas.openxmlformats.org/spreadsheetml/2006/main" count="561" uniqueCount="43">
  <si>
    <t>S</t>
  </si>
  <si>
    <t>M</t>
  </si>
  <si>
    <t>8:00</t>
  </si>
  <si>
    <t>9:00</t>
  </si>
  <si>
    <t>2:00</t>
  </si>
  <si>
    <t>10:00</t>
  </si>
  <si>
    <t>4:00</t>
  </si>
  <si>
    <t>TAREAS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</si>
  <si>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</si>
  <si>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</si>
  <si>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</si>
  <si>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</si>
  <si>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</si>
  <si>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</si>
  <si>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</si>
  <si>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</si>
  <si>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</si>
  <si>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</si>
  <si>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</si>
  <si>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</si>
  <si>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</si>
  <si>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</si>
  <si>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</si>
  <si>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</si>
  <si>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</si>
  <si>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</si>
  <si>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</si>
  <si>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</si>
  <si>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</si>
  <si>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</si>
  <si>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</si>
  <si>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</si>
  <si>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</si>
  <si>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</si>
  <si>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</si>
  <si>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Matemáticas: Examen</t>
  </si>
  <si>
    <t>Francés: Entrega del primer borrador en papel</t>
  </si>
  <si>
    <t>SÁB</t>
  </si>
  <si>
    <t>DOM</t>
  </si>
  <si>
    <t>Estudiar Anatomía</t>
  </si>
  <si>
    <t>7:00</t>
  </si>
  <si>
    <t>Anatomía</t>
  </si>
  <si>
    <t>Historia del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</si>
</sst>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4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0.5"/>
      <color theme="1" tint="0.24997711111789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100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164" fontId="23" fillId="6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left" indent="1"/>
    </xf>
    <xf numFmtId="49" fontId="14" fillId="5" borderId="46" xfId="0" applyNumberFormat="1" applyFont="1" applyFill="1" applyBorder="1" applyAlignment="1">
      <alignment horizontal="left" indent="1"/>
    </xf>
    <xf numFmtId="49" fontId="14" fillId="5" borderId="46" xfId="0" applyNumberFormat="1" applyFont="1" applyFill="1" applyBorder="1" applyAlignment="1">
      <alignment horizontal="left" wrapText="1"/>
    </xf>
    <xf numFmtId="0" fontId="15" fillId="5" borderId="46" xfId="0" applyFont="1" applyFill="1" applyBorder="1" applyAlignment="1">
      <alignment horizontal="left" vertical="top" indent="1"/>
    </xf>
    <xf numFmtId="164" fontId="15" fillId="5" borderId="46" xfId="0" applyNumberFormat="1" applyFont="1" applyFill="1" applyBorder="1" applyAlignment="1">
      <alignment horizontal="left" vertical="top" wrapText="1"/>
    </xf>
    <xf numFmtId="49" fontId="14" fillId="5" borderId="46" xfId="0" applyNumberFormat="1" applyFont="1" applyFill="1" applyBorder="1" applyAlignment="1">
      <alignment horizontal="left" vertical="center" wrapText="1"/>
    </xf>
    <xf numFmtId="0" fontId="17" fillId="5" borderId="46" xfId="0" applyFont="1" applyFill="1" applyBorder="1" applyAlignment="1">
      <alignment horizontal="left" vertical="top" wrapText="1"/>
    </xf>
    <xf numFmtId="0" fontId="15" fillId="5" borderId="46" xfId="0" applyFont="1" applyFill="1" applyBorder="1" applyAlignment="1">
      <alignment horizontal="left" vertical="top" wrapText="1"/>
    </xf>
    <xf numFmtId="49" fontId="17" fillId="5" borderId="46" xfId="0" applyNumberFormat="1" applyFont="1" applyFill="1" applyBorder="1" applyAlignment="1">
      <alignment horizontal="left" wrapText="1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45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9" fillId="0" borderId="45" xfId="0" applyFont="1" applyBorder="1" applyAlignment="1">
      <alignment horizontal="right" vertical="center" textRotation="90"/>
    </xf>
    <xf numFmtId="0" fontId="9" fillId="0" borderId="0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46" xfId="0" applyFont="1" applyFill="1" applyBorder="1" applyAlignment="1">
      <alignment horizontal="left" vertical="top" indent="1"/>
    </xf>
    <xf numFmtId="49" fontId="14" fillId="5" borderId="46" xfId="0" applyNumberFormat="1" applyFont="1" applyFill="1" applyBorder="1" applyAlignment="1">
      <alignment horizontal="left" indent="1"/>
    </xf>
    <xf numFmtId="164" fontId="15" fillId="5" borderId="46" xfId="0" applyNumberFormat="1" applyFont="1" applyFill="1" applyBorder="1" applyAlignment="1">
      <alignment horizontal="left" vertical="top" indent="1"/>
    </xf>
    <xf numFmtId="49" fontId="14" fillId="5" borderId="46" xfId="0" applyNumberFormat="1" applyFont="1" applyFill="1" applyBorder="1" applyAlignment="1">
      <alignment horizontal="left" vertical="center" indent="1"/>
    </xf>
    <xf numFmtId="0" fontId="17" fillId="5" borderId="46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49" fontId="17" fillId="5" borderId="4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Normal" xfId="0" builtinId="0" customBuiltin="1"/>
    <cellStyle name="Normal 2" xfId="1" xr:uid="{00000000-0005-0000-0000-000004000000}"/>
  </cellStyles>
  <dxfs count="60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  <tableStyle name="TableStyleLight9 2" pivot="0" count="4" xr9:uid="{00000000-0011-0000-FFFF-FFFF01000000}">
      <tableStyleElement type="wholeTable" dxfId="52"/>
      <tableStyleElement type="headerRow" dxfId="51"/>
      <tableStyleElement type="totalRow" dxfId="50"/>
      <tableStyleElement type="firstColumn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P$2" max="2999" min="1900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1</xdr:row>
      <xdr:rowOff>28575</xdr:rowOff>
    </xdr:from>
    <xdr:to>
      <xdr:col>20</xdr:col>
      <xdr:colOff>552450</xdr:colOff>
      <xdr:row>2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Haga clic en el control de número para cambiar</a:t>
          </a:r>
          <a:r>
            <a:rPr lang="en-US" sz="1000" b="1" baseline="0">
              <a:solidFill>
                <a:schemeClr val="accent1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</xdr:row>
          <xdr:rowOff>85725</xdr:rowOff>
        </xdr:from>
        <xdr:to>
          <xdr:col>17</xdr:col>
          <xdr:colOff>0</xdr:colOff>
          <xdr:row>2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Q45"/>
  <sheetViews>
    <sheetView showGridLines="0" topLeftCell="A22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9" style="1" customWidth="1"/>
    <col min="12" max="12" width="9.8554687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customWidth="1"/>
    <col min="18" max="24" width="8.85546875" customWidth="1"/>
    <col min="44" max="16384" width="8.7109375" style="1"/>
  </cols>
  <sheetData>
    <row r="1" spans="1:16" ht="11.25" customHeight="1" x14ac:dyDescent="0.2"/>
    <row r="2" spans="1:16" ht="18" customHeight="1" x14ac:dyDescent="0.2">
      <c r="A2" s="4"/>
      <c r="B2" s="70" t="s">
        <v>8</v>
      </c>
      <c r="C2" s="21"/>
      <c r="D2" s="21"/>
      <c r="E2" s="21"/>
      <c r="F2" s="21"/>
      <c r="G2" s="21"/>
      <c r="H2" s="21"/>
      <c r="I2" s="21"/>
      <c r="J2" s="22"/>
      <c r="K2" s="28"/>
      <c r="L2" s="28"/>
      <c r="M2" s="56" t="s">
        <v>7</v>
      </c>
      <c r="N2" s="57">
        <v>2013</v>
      </c>
      <c r="O2" s="57"/>
      <c r="P2" s="63">
        <v>2019</v>
      </c>
    </row>
    <row r="3" spans="1:16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28"/>
      <c r="L3" s="28"/>
      <c r="M3" s="58"/>
      <c r="N3" s="59"/>
      <c r="O3" s="59"/>
      <c r="P3" s="64"/>
    </row>
    <row r="4" spans="1:16" ht="18" customHeight="1" x14ac:dyDescent="0.2">
      <c r="A4" s="4"/>
      <c r="B4" s="71"/>
      <c r="C4" s="10">
        <f>IF(DAY(JanSun1)=1,JanSun1-6,JanSun1+1)</f>
        <v>43465</v>
      </c>
      <c r="D4" s="10">
        <f>IF(DAY(JanSun1)=1,JanSun1-5,JanSun1+2)</f>
        <v>43466</v>
      </c>
      <c r="E4" s="10">
        <f>IF(DAY(JanSun1)=1,JanSun1-4,JanSun1+3)</f>
        <v>43467</v>
      </c>
      <c r="F4" s="10">
        <f>IF(DAY(JanSun1)=1,JanSun1-3,JanSun1+4)</f>
        <v>43468</v>
      </c>
      <c r="G4" s="10">
        <f>IF(DAY(JanSun1)=1,JanSun1-2,JanSun1+5)</f>
        <v>43469</v>
      </c>
      <c r="H4" s="10">
        <f>IF(DAY(JanSun1)=1,JanSun1-1,JanSun1+6)</f>
        <v>43470</v>
      </c>
      <c r="I4" s="10">
        <f>IF(DAY(JanSun1)=1,JanSun1,JanSun1+7)</f>
        <v>43471</v>
      </c>
      <c r="J4" s="5"/>
      <c r="K4" s="28"/>
      <c r="L4" s="28"/>
      <c r="M4" s="60" t="s">
        <v>16</v>
      </c>
      <c r="N4" s="16">
        <v>3</v>
      </c>
      <c r="O4" s="61" t="s">
        <v>36</v>
      </c>
      <c r="P4" s="62"/>
    </row>
    <row r="5" spans="1:16" ht="18" customHeight="1" x14ac:dyDescent="0.2">
      <c r="A5" s="4"/>
      <c r="B5" s="71"/>
      <c r="C5" s="10">
        <f>IF(DAY(JanSun1)=1,JanSun1+1,JanSun1+8)</f>
        <v>43472</v>
      </c>
      <c r="D5" s="10">
        <f>IF(DAY(JanSun1)=1,JanSun1+2,JanSun1+9)</f>
        <v>43473</v>
      </c>
      <c r="E5" s="10">
        <f>IF(DAY(JanSun1)=1,JanSun1+3,JanSun1+10)</f>
        <v>43474</v>
      </c>
      <c r="F5" s="10">
        <f>IF(DAY(JanSun1)=1,JanSun1+4,JanSun1+11)</f>
        <v>43475</v>
      </c>
      <c r="G5" s="10">
        <f>IF(DAY(JanSun1)=1,JanSun1+5,JanSun1+12)</f>
        <v>43476</v>
      </c>
      <c r="H5" s="10">
        <f>IF(DAY(JanSun1)=1,JanSun1+6,JanSun1+13)</f>
        <v>43477</v>
      </c>
      <c r="I5" s="10">
        <f>IF(DAY(JanSun1)=1,JanSun1+7,JanSun1+14)</f>
        <v>43478</v>
      </c>
      <c r="J5" s="5"/>
      <c r="K5" s="28"/>
      <c r="L5" s="28"/>
      <c r="M5" s="44"/>
      <c r="N5" s="17"/>
      <c r="O5" s="39"/>
      <c r="P5" s="40"/>
    </row>
    <row r="6" spans="1:16" ht="18" customHeight="1" x14ac:dyDescent="0.2">
      <c r="A6" s="4"/>
      <c r="B6" s="71"/>
      <c r="C6" s="10">
        <f>IF(DAY(JanSun1)=1,JanSun1+8,JanSun1+15)</f>
        <v>43479</v>
      </c>
      <c r="D6" s="10">
        <f>IF(DAY(JanSun1)=1,JanSun1+9,JanSun1+16)</f>
        <v>43480</v>
      </c>
      <c r="E6" s="10">
        <f>IF(DAY(JanSun1)=1,JanSun1+10,JanSun1+17)</f>
        <v>43481</v>
      </c>
      <c r="F6" s="10">
        <f>IF(DAY(JanSun1)=1,JanSun1+11,JanSun1+18)</f>
        <v>43482</v>
      </c>
      <c r="G6" s="10">
        <f>IF(DAY(JanSun1)=1,JanSun1+12,JanSun1+19)</f>
        <v>43483</v>
      </c>
      <c r="H6" s="10">
        <f>IF(DAY(JanSun1)=1,JanSun1+13,JanSun1+20)</f>
        <v>43484</v>
      </c>
      <c r="I6" s="10">
        <f>IF(DAY(JanSun1)=1,JanSun1+14,JanSun1+21)</f>
        <v>43485</v>
      </c>
      <c r="J6" s="5"/>
      <c r="K6" s="28"/>
      <c r="L6" s="28"/>
      <c r="M6" s="44"/>
      <c r="N6" s="17"/>
      <c r="O6" s="39"/>
      <c r="P6" s="40"/>
    </row>
    <row r="7" spans="1:16" ht="18" customHeight="1" x14ac:dyDescent="0.2">
      <c r="A7" s="4"/>
      <c r="B7" s="71"/>
      <c r="C7" s="10">
        <f>IF(DAY(JanSun1)=1,JanSun1+15,JanSun1+22)</f>
        <v>43486</v>
      </c>
      <c r="D7" s="10">
        <f>IF(DAY(JanSun1)=1,JanSun1+16,JanSun1+23)</f>
        <v>43487</v>
      </c>
      <c r="E7" s="10">
        <f>IF(DAY(JanSun1)=1,JanSun1+17,JanSun1+24)</f>
        <v>43488</v>
      </c>
      <c r="F7" s="10">
        <f>IF(DAY(JanSun1)=1,JanSun1+18,JanSun1+25)</f>
        <v>43489</v>
      </c>
      <c r="G7" s="10">
        <f>IF(DAY(JanSun1)=1,JanSun1+19,JanSun1+26)</f>
        <v>43490</v>
      </c>
      <c r="H7" s="27">
        <f>IF(DAY(JanSun1)=1,JanSun1+20,JanSun1+27)</f>
        <v>43491</v>
      </c>
      <c r="I7" s="10">
        <f>IF(DAY(JanSun1)=1,JanSun1+21,JanSun1+28)</f>
        <v>43492</v>
      </c>
      <c r="J7" s="5"/>
      <c r="K7" s="28"/>
      <c r="L7" s="28"/>
      <c r="M7" s="11"/>
      <c r="N7" s="17"/>
      <c r="O7" s="39"/>
      <c r="P7" s="40"/>
    </row>
    <row r="8" spans="1:16" ht="18.75" customHeight="1" x14ac:dyDescent="0.2">
      <c r="A8" s="4"/>
      <c r="B8" s="71"/>
      <c r="C8" s="10">
        <f>IF(DAY(JanSun1)=1,JanSun1+22,JanSun1+29)</f>
        <v>43493</v>
      </c>
      <c r="D8" s="10">
        <f>IF(DAY(JanSun1)=1,JanSun1+23,JanSun1+30)</f>
        <v>43494</v>
      </c>
      <c r="E8" s="10">
        <f>IF(DAY(JanSun1)=1,JanSun1+24,JanSun1+31)</f>
        <v>43495</v>
      </c>
      <c r="F8" s="10">
        <f>IF(DAY(JanSun1)=1,JanSun1+25,JanSun1+32)</f>
        <v>43496</v>
      </c>
      <c r="G8" s="10">
        <f>IF(DAY(JanSun1)=1,JanSun1+26,JanSun1+33)</f>
        <v>43497</v>
      </c>
      <c r="H8" s="10">
        <f>IF(DAY(JanSun1)=1,JanSun1+27,JanSun1+34)</f>
        <v>43498</v>
      </c>
      <c r="I8" s="10">
        <f>IF(DAY(JanSun1)=1,JanSun1+28,JanSun1+35)</f>
        <v>43499</v>
      </c>
      <c r="J8" s="5"/>
      <c r="K8" s="28"/>
      <c r="L8" s="28"/>
      <c r="M8" s="11"/>
      <c r="N8" s="17"/>
      <c r="O8" s="39"/>
      <c r="P8" s="40"/>
    </row>
    <row r="9" spans="1:16" ht="18" customHeight="1" x14ac:dyDescent="0.2">
      <c r="A9" s="4"/>
      <c r="B9" s="71"/>
      <c r="C9" s="10">
        <f>IF(DAY(JanSun1)=1,JanSun1+29,JanSun1+36)</f>
        <v>43500</v>
      </c>
      <c r="D9" s="10">
        <f>IF(DAY(JanSun1)=1,JanSun1+30,JanSun1+37)</f>
        <v>43501</v>
      </c>
      <c r="E9" s="10">
        <f>IF(DAY(JanSun1)=1,JanSun1+31,JanSun1+38)</f>
        <v>43502</v>
      </c>
      <c r="F9" s="10">
        <f>IF(DAY(JanSun1)=1,JanSun1+32,JanSun1+39)</f>
        <v>43503</v>
      </c>
      <c r="G9" s="10">
        <f>IF(DAY(JanSun1)=1,JanSun1+33,JanSun1+40)</f>
        <v>43504</v>
      </c>
      <c r="H9" s="10">
        <f>IF(DAY(JanSun1)=1,JanSun1+34,JanSun1+41)</f>
        <v>43505</v>
      </c>
      <c r="I9" s="10">
        <f>IF(DAY(JanSun1)=1,JanSun1+35,JanSun1+42)</f>
        <v>43506</v>
      </c>
      <c r="J9" s="5"/>
      <c r="K9" s="28"/>
      <c r="L9" s="28"/>
      <c r="M9" s="12"/>
      <c r="N9" s="18"/>
      <c r="O9" s="49"/>
      <c r="P9" s="50"/>
    </row>
    <row r="10" spans="1:16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28"/>
      <c r="L10" s="28"/>
      <c r="M10" s="43" t="s">
        <v>17</v>
      </c>
      <c r="N10" s="16">
        <v>18</v>
      </c>
      <c r="O10" s="45" t="s">
        <v>35</v>
      </c>
      <c r="P10" s="46"/>
    </row>
    <row r="11" spans="1:16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29"/>
      <c r="L11" s="29"/>
      <c r="M11" s="44"/>
      <c r="N11" s="17"/>
      <c r="O11" s="39"/>
      <c r="P11" s="40"/>
    </row>
    <row r="12" spans="1:16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29"/>
      <c r="L12" s="29"/>
      <c r="M12" s="44"/>
      <c r="N12" s="17"/>
      <c r="O12" s="39"/>
      <c r="P12" s="40"/>
    </row>
    <row r="13" spans="1:16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30" t="s">
        <v>37</v>
      </c>
      <c r="L13" s="30" t="s">
        <v>38</v>
      </c>
      <c r="M13" s="11"/>
      <c r="N13" s="17"/>
      <c r="O13" s="39"/>
      <c r="P13" s="40"/>
    </row>
    <row r="14" spans="1:16" ht="18" customHeight="1" x14ac:dyDescent="0.2">
      <c r="B14" s="31" t="s">
        <v>2</v>
      </c>
      <c r="C14" s="66"/>
      <c r="D14" s="66"/>
      <c r="E14" s="66" t="s">
        <v>2</v>
      </c>
      <c r="F14" s="66"/>
      <c r="G14" s="66"/>
      <c r="H14" s="66"/>
      <c r="I14" s="66" t="s">
        <v>2</v>
      </c>
      <c r="J14" s="66"/>
      <c r="K14" s="32" t="s">
        <v>40</v>
      </c>
      <c r="L14" s="32"/>
      <c r="M14" s="11"/>
      <c r="N14" s="17"/>
      <c r="O14" s="39"/>
      <c r="P14" s="40"/>
    </row>
    <row r="15" spans="1:16" ht="18" customHeight="1" x14ac:dyDescent="0.2">
      <c r="B15" s="33" t="s">
        <v>21</v>
      </c>
      <c r="C15" s="65"/>
      <c r="D15" s="65"/>
      <c r="E15" s="65" t="s">
        <v>21</v>
      </c>
      <c r="F15" s="65"/>
      <c r="G15" s="65"/>
      <c r="H15" s="65"/>
      <c r="I15" s="67" t="s">
        <v>21</v>
      </c>
      <c r="J15" s="67"/>
      <c r="K15" s="34" t="s">
        <v>41</v>
      </c>
      <c r="L15" s="34"/>
      <c r="M15" s="13"/>
      <c r="N15" s="19"/>
      <c r="O15" s="49"/>
      <c r="P15" s="50"/>
    </row>
    <row r="16" spans="1:16" ht="18" customHeight="1" x14ac:dyDescent="0.2">
      <c r="B16" s="31"/>
      <c r="C16" s="66" t="s">
        <v>3</v>
      </c>
      <c r="D16" s="66"/>
      <c r="E16" s="66"/>
      <c r="F16" s="66"/>
      <c r="G16" s="66" t="s">
        <v>3</v>
      </c>
      <c r="H16" s="66"/>
      <c r="I16" s="68"/>
      <c r="J16" s="68"/>
      <c r="K16" s="35"/>
      <c r="L16" s="35"/>
      <c r="M16" s="47" t="s">
        <v>18</v>
      </c>
      <c r="N16" s="16"/>
      <c r="O16" s="45"/>
      <c r="P16" s="46"/>
    </row>
    <row r="17" spans="2:16" ht="18" customHeight="1" x14ac:dyDescent="0.2">
      <c r="B17" s="33"/>
      <c r="C17" s="65" t="s">
        <v>42</v>
      </c>
      <c r="D17" s="65"/>
      <c r="E17" s="65"/>
      <c r="F17" s="65"/>
      <c r="G17" s="65" t="s">
        <v>42</v>
      </c>
      <c r="H17" s="65"/>
      <c r="I17" s="67"/>
      <c r="J17" s="67"/>
      <c r="K17" s="34"/>
      <c r="L17" s="34"/>
      <c r="M17" s="48"/>
      <c r="N17" s="17"/>
      <c r="O17" s="39"/>
      <c r="P17" s="40"/>
    </row>
    <row r="18" spans="2:16" ht="18" customHeight="1" x14ac:dyDescent="0.2">
      <c r="B18" s="31" t="s">
        <v>5</v>
      </c>
      <c r="C18" s="66"/>
      <c r="D18" s="66"/>
      <c r="E18" s="66" t="s">
        <v>5</v>
      </c>
      <c r="F18" s="66"/>
      <c r="G18" s="66"/>
      <c r="H18" s="66"/>
      <c r="I18" s="66" t="s">
        <v>5</v>
      </c>
      <c r="J18" s="66"/>
      <c r="K18" s="32"/>
      <c r="L18" s="32"/>
      <c r="M18" s="48"/>
      <c r="N18" s="17"/>
      <c r="O18" s="39"/>
      <c r="P18" s="40"/>
    </row>
    <row r="19" spans="2:16" ht="18" customHeight="1" x14ac:dyDescent="0.2">
      <c r="B19" s="33" t="s">
        <v>22</v>
      </c>
      <c r="C19" s="65"/>
      <c r="D19" s="65"/>
      <c r="E19" s="65" t="s">
        <v>22</v>
      </c>
      <c r="F19" s="65"/>
      <c r="G19" s="65"/>
      <c r="H19" s="65"/>
      <c r="I19" s="67" t="s">
        <v>22</v>
      </c>
      <c r="J19" s="67"/>
      <c r="K19" s="34"/>
      <c r="L19" s="34"/>
      <c r="M19" s="11"/>
      <c r="N19" s="17"/>
      <c r="O19" s="39"/>
      <c r="P19" s="40"/>
    </row>
    <row r="20" spans="2:16" ht="18" customHeight="1" x14ac:dyDescent="0.2">
      <c r="B20" s="31"/>
      <c r="C20" s="66"/>
      <c r="D20" s="66"/>
      <c r="E20" s="66"/>
      <c r="F20" s="66"/>
      <c r="G20" s="66"/>
      <c r="H20" s="66"/>
      <c r="I20" s="66"/>
      <c r="J20" s="66"/>
      <c r="K20" s="32"/>
      <c r="L20" s="32"/>
      <c r="M20" s="11"/>
      <c r="N20" s="17"/>
      <c r="O20" s="39"/>
      <c r="P20" s="40"/>
    </row>
    <row r="21" spans="2:16" ht="18" customHeight="1" x14ac:dyDescent="0.2">
      <c r="B21" s="33"/>
      <c r="C21" s="65"/>
      <c r="D21" s="65"/>
      <c r="E21" s="65"/>
      <c r="F21" s="65"/>
      <c r="G21" s="65"/>
      <c r="H21" s="65"/>
      <c r="I21" s="69"/>
      <c r="J21" s="69"/>
      <c r="K21" s="36"/>
      <c r="L21" s="36"/>
      <c r="M21" s="13"/>
      <c r="N21" s="19"/>
      <c r="O21" s="49"/>
      <c r="P21" s="50"/>
    </row>
    <row r="22" spans="2:16" ht="18" customHeight="1" x14ac:dyDescent="0.2">
      <c r="B22" s="31"/>
      <c r="C22" s="66"/>
      <c r="D22" s="66"/>
      <c r="E22" s="66"/>
      <c r="F22" s="66"/>
      <c r="G22" s="66"/>
      <c r="H22" s="66"/>
      <c r="I22" s="66"/>
      <c r="J22" s="66"/>
      <c r="K22" s="32"/>
      <c r="L22" s="32"/>
      <c r="M22" s="47" t="s">
        <v>19</v>
      </c>
      <c r="N22" s="16"/>
      <c r="O22" s="45"/>
      <c r="P22" s="46"/>
    </row>
    <row r="23" spans="2:16" ht="18" customHeight="1" x14ac:dyDescent="0.2">
      <c r="B23" s="33"/>
      <c r="C23" s="65"/>
      <c r="D23" s="65"/>
      <c r="E23" s="65"/>
      <c r="F23" s="65"/>
      <c r="G23" s="65"/>
      <c r="H23" s="65"/>
      <c r="I23" s="67"/>
      <c r="J23" s="67"/>
      <c r="K23" s="34"/>
      <c r="L23" s="34"/>
      <c r="M23" s="48"/>
      <c r="N23" s="17"/>
      <c r="O23" s="39"/>
      <c r="P23" s="40"/>
    </row>
    <row r="24" spans="2:16" ht="18" customHeight="1" x14ac:dyDescent="0.2">
      <c r="B24" s="31"/>
      <c r="C24" s="66"/>
      <c r="D24" s="66"/>
      <c r="E24" s="66"/>
      <c r="F24" s="66"/>
      <c r="G24" s="66"/>
      <c r="H24" s="66"/>
      <c r="I24" s="66"/>
      <c r="J24" s="66"/>
      <c r="K24" s="32"/>
      <c r="L24" s="32"/>
      <c r="M24" s="48"/>
      <c r="N24" s="17"/>
      <c r="O24" s="39"/>
      <c r="P24" s="40"/>
    </row>
    <row r="25" spans="2:16" ht="18" customHeight="1" x14ac:dyDescent="0.2">
      <c r="B25" s="33"/>
      <c r="C25" s="65"/>
      <c r="D25" s="65"/>
      <c r="E25" s="65"/>
      <c r="F25" s="65"/>
      <c r="G25" s="65"/>
      <c r="H25" s="65"/>
      <c r="I25" s="67"/>
      <c r="J25" s="67"/>
      <c r="K25" s="34"/>
      <c r="L25" s="34"/>
      <c r="M25" s="48"/>
      <c r="N25" s="17"/>
      <c r="O25" s="39"/>
      <c r="P25" s="40"/>
    </row>
    <row r="26" spans="2:16" ht="18" customHeight="1" x14ac:dyDescent="0.2">
      <c r="B26" s="31" t="s">
        <v>4</v>
      </c>
      <c r="C26" s="66"/>
      <c r="D26" s="66"/>
      <c r="E26" s="66" t="s">
        <v>4</v>
      </c>
      <c r="F26" s="66"/>
      <c r="G26" s="66"/>
      <c r="H26" s="66"/>
      <c r="I26" s="66" t="s">
        <v>4</v>
      </c>
      <c r="J26" s="66"/>
      <c r="K26" s="32"/>
      <c r="L26" s="32"/>
      <c r="M26" s="11"/>
      <c r="N26" s="17"/>
      <c r="O26" s="39"/>
      <c r="P26" s="40"/>
    </row>
    <row r="27" spans="2:16" ht="18" customHeight="1" x14ac:dyDescent="0.2">
      <c r="B27" s="33" t="s">
        <v>23</v>
      </c>
      <c r="C27" s="65"/>
      <c r="D27" s="65"/>
      <c r="E27" s="65" t="s">
        <v>23</v>
      </c>
      <c r="F27" s="65"/>
      <c r="G27" s="65"/>
      <c r="H27" s="65"/>
      <c r="I27" s="67" t="s">
        <v>23</v>
      </c>
      <c r="J27" s="67"/>
      <c r="K27" s="34"/>
      <c r="L27" s="34"/>
      <c r="M27" s="13"/>
      <c r="N27" s="19"/>
      <c r="O27" s="49"/>
      <c r="P27" s="50"/>
    </row>
    <row r="28" spans="2:16" ht="18" customHeight="1" x14ac:dyDescent="0.2">
      <c r="B28" s="31"/>
      <c r="C28" s="66"/>
      <c r="D28" s="66"/>
      <c r="E28" s="66"/>
      <c r="F28" s="66"/>
      <c r="G28" s="66"/>
      <c r="H28" s="66"/>
      <c r="I28" s="66"/>
      <c r="J28" s="66"/>
      <c r="K28" s="32"/>
      <c r="L28" s="32"/>
      <c r="M28" s="51" t="s">
        <v>20</v>
      </c>
      <c r="N28" s="16"/>
      <c r="O28" s="45"/>
      <c r="P28" s="46"/>
    </row>
    <row r="29" spans="2:16" ht="18" customHeight="1" x14ac:dyDescent="0.2">
      <c r="B29" s="33"/>
      <c r="C29" s="65"/>
      <c r="D29" s="65"/>
      <c r="E29" s="65"/>
      <c r="F29" s="65"/>
      <c r="G29" s="65"/>
      <c r="H29" s="65"/>
      <c r="I29" s="65"/>
      <c r="J29" s="65"/>
      <c r="K29" s="37"/>
      <c r="L29" s="37"/>
      <c r="M29" s="52"/>
      <c r="N29" s="17"/>
      <c r="O29" s="39"/>
      <c r="P29" s="40"/>
    </row>
    <row r="30" spans="2:16" ht="18" customHeight="1" x14ac:dyDescent="0.2">
      <c r="B30" s="31"/>
      <c r="C30" s="66" t="s">
        <v>6</v>
      </c>
      <c r="D30" s="66"/>
      <c r="E30" s="66"/>
      <c r="F30" s="66"/>
      <c r="G30" s="66" t="s">
        <v>6</v>
      </c>
      <c r="H30" s="66"/>
      <c r="I30" s="76"/>
      <c r="J30" s="76"/>
      <c r="K30" s="38"/>
      <c r="L30" s="32"/>
      <c r="M30" s="52"/>
      <c r="N30" s="17"/>
      <c r="O30" s="39"/>
      <c r="P30" s="40"/>
    </row>
    <row r="31" spans="2:16" ht="18" customHeight="1" x14ac:dyDescent="0.2">
      <c r="B31" s="33"/>
      <c r="C31" s="65" t="s">
        <v>24</v>
      </c>
      <c r="D31" s="65"/>
      <c r="E31" s="65"/>
      <c r="F31" s="65"/>
      <c r="G31" s="65" t="s">
        <v>24</v>
      </c>
      <c r="H31" s="65"/>
      <c r="I31" s="65"/>
      <c r="J31" s="65"/>
      <c r="K31" s="37"/>
      <c r="L31" s="32"/>
      <c r="M31" s="14"/>
      <c r="N31" s="17"/>
      <c r="O31" s="39"/>
      <c r="P31" s="40"/>
    </row>
    <row r="32" spans="2:16" ht="18" customHeight="1" x14ac:dyDescent="0.2">
      <c r="B32" s="31"/>
      <c r="C32" s="66"/>
      <c r="D32" s="66"/>
      <c r="E32" s="66"/>
      <c r="F32" s="66"/>
      <c r="G32" s="66"/>
      <c r="H32" s="66"/>
      <c r="I32" s="68"/>
      <c r="J32" s="68"/>
      <c r="K32" s="35"/>
      <c r="L32" s="32"/>
      <c r="M32" s="14"/>
      <c r="N32" s="17"/>
      <c r="O32" s="39"/>
      <c r="P32" s="40"/>
    </row>
    <row r="33" spans="2:16" ht="18" customHeight="1" x14ac:dyDescent="0.2">
      <c r="B33" s="33"/>
      <c r="C33" s="65"/>
      <c r="D33" s="65"/>
      <c r="E33" s="65"/>
      <c r="F33" s="65"/>
      <c r="G33" s="65"/>
      <c r="H33" s="65"/>
      <c r="I33" s="67"/>
      <c r="J33" s="67"/>
      <c r="K33" s="34"/>
      <c r="L33" s="34"/>
      <c r="M33" s="15"/>
      <c r="N33" s="20"/>
      <c r="O33" s="41"/>
      <c r="P33" s="42"/>
    </row>
    <row r="34" spans="2:16" ht="16.5" customHeight="1" x14ac:dyDescent="0.2">
      <c r="M34" s="43" t="s">
        <v>37</v>
      </c>
      <c r="N34" s="16">
        <v>26</v>
      </c>
      <c r="O34" s="45" t="s">
        <v>39</v>
      </c>
      <c r="P34" s="46"/>
    </row>
    <row r="35" spans="2:16" ht="16.5" customHeight="1" x14ac:dyDescent="0.2">
      <c r="M35" s="44"/>
      <c r="N35" s="17"/>
      <c r="O35" s="39"/>
      <c r="P35" s="40"/>
    </row>
    <row r="36" spans="2:16" ht="16.5" customHeight="1" x14ac:dyDescent="0.2">
      <c r="M36" s="44"/>
      <c r="N36" s="17"/>
      <c r="O36" s="39"/>
      <c r="P36" s="40"/>
    </row>
    <row r="37" spans="2:16" ht="16.5" customHeight="1" x14ac:dyDescent="0.2">
      <c r="M37" s="14"/>
      <c r="N37" s="17"/>
      <c r="O37" s="39"/>
      <c r="P37" s="40"/>
    </row>
    <row r="38" spans="2:16" ht="16.5" customHeight="1" x14ac:dyDescent="0.2">
      <c r="M38" s="14"/>
      <c r="N38" s="17"/>
      <c r="O38" s="39"/>
      <c r="P38" s="40"/>
    </row>
    <row r="39" spans="2:16" ht="16.5" customHeight="1" x14ac:dyDescent="0.2">
      <c r="M39" s="15"/>
      <c r="N39" s="20"/>
      <c r="O39" s="41"/>
      <c r="P39" s="42"/>
    </row>
    <row r="40" spans="2:16" ht="16.5" customHeight="1" x14ac:dyDescent="0.2">
      <c r="M40" s="43" t="s">
        <v>38</v>
      </c>
      <c r="N40" s="16"/>
      <c r="O40" s="45"/>
      <c r="P40" s="46"/>
    </row>
    <row r="41" spans="2:16" ht="16.5" customHeight="1" x14ac:dyDescent="0.2">
      <c r="M41" s="44"/>
      <c r="N41" s="17"/>
      <c r="O41" s="39"/>
      <c r="P41" s="40"/>
    </row>
    <row r="42" spans="2:16" ht="16.5" customHeight="1" x14ac:dyDescent="0.2">
      <c r="M42" s="44"/>
      <c r="N42" s="17"/>
      <c r="O42" s="39"/>
      <c r="P42" s="40"/>
    </row>
    <row r="43" spans="2:16" ht="16.5" customHeight="1" x14ac:dyDescent="0.2">
      <c r="M43" s="14"/>
      <c r="N43" s="17"/>
      <c r="O43" s="39"/>
      <c r="P43" s="40"/>
    </row>
    <row r="44" spans="2:16" ht="16.5" customHeight="1" x14ac:dyDescent="0.2">
      <c r="M44" s="14"/>
      <c r="N44" s="17"/>
      <c r="O44" s="39"/>
      <c r="P44" s="40"/>
    </row>
    <row r="45" spans="2:16" ht="16.5" customHeight="1" x14ac:dyDescent="0.2">
      <c r="M45" s="15"/>
      <c r="N45" s="20"/>
      <c r="O45" s="41"/>
      <c r="P45" s="42"/>
    </row>
  </sheetData>
  <mergeCells count="137">
    <mergeCell ref="B2:B10"/>
    <mergeCell ref="B11:J12"/>
    <mergeCell ref="O31:P31"/>
    <mergeCell ref="O32:P32"/>
    <mergeCell ref="O33:P33"/>
    <mergeCell ref="O26:P26"/>
    <mergeCell ref="O27:P27"/>
    <mergeCell ref="O28:P28"/>
    <mergeCell ref="O29:P29"/>
    <mergeCell ref="O30:P30"/>
    <mergeCell ref="O21:P21"/>
    <mergeCell ref="O22:P22"/>
    <mergeCell ref="O23:P23"/>
    <mergeCell ref="O24:P24"/>
    <mergeCell ref="O25:P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M28:M30"/>
    <mergeCell ref="I13:J13"/>
    <mergeCell ref="G13:H13"/>
    <mergeCell ref="E13:F13"/>
    <mergeCell ref="C13:D13"/>
    <mergeCell ref="M2:O3"/>
    <mergeCell ref="M10:M12"/>
    <mergeCell ref="M4:M6"/>
    <mergeCell ref="O4:P4"/>
    <mergeCell ref="O5:P5"/>
    <mergeCell ref="O6:P6"/>
    <mergeCell ref="O7:P7"/>
    <mergeCell ref="O8:P8"/>
    <mergeCell ref="O9:P9"/>
    <mergeCell ref="O10:P10"/>
    <mergeCell ref="O11:P11"/>
    <mergeCell ref="P2:P3"/>
    <mergeCell ref="C19:D19"/>
    <mergeCell ref="C20:D20"/>
    <mergeCell ref="C21:D21"/>
    <mergeCell ref="C22:D22"/>
    <mergeCell ref="C23:D23"/>
    <mergeCell ref="C14:D14"/>
    <mergeCell ref="C15:D15"/>
    <mergeCell ref="M16:M18"/>
    <mergeCell ref="M22:M25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43:P43"/>
    <mergeCell ref="O44:P44"/>
    <mergeCell ref="O45:P45"/>
    <mergeCell ref="M34:M36"/>
    <mergeCell ref="O34:P34"/>
    <mergeCell ref="O35:P35"/>
    <mergeCell ref="O36:P36"/>
    <mergeCell ref="O37:P37"/>
    <mergeCell ref="O38:P38"/>
    <mergeCell ref="O39:P39"/>
    <mergeCell ref="M40:M42"/>
    <mergeCell ref="O40:P40"/>
    <mergeCell ref="O41:P41"/>
    <mergeCell ref="O42:P42"/>
  </mergeCells>
  <phoneticPr fontId="2" type="noConversion"/>
  <conditionalFormatting sqref="C4:H4">
    <cfRule type="expression" dxfId="48" priority="5" stopIfTrue="1">
      <formula>DAY(C4)&gt;8</formula>
    </cfRule>
  </conditionalFormatting>
  <conditionalFormatting sqref="C8:I10">
    <cfRule type="expression" dxfId="47" priority="4" stopIfTrue="1">
      <formula>AND(DAY(C8)&gt;=1,DAY(C8)&lt;=15)</formula>
    </cfRule>
  </conditionalFormatting>
  <conditionalFormatting sqref="C4:I9">
    <cfRule type="expression" dxfId="46" priority="16">
      <formula>VLOOKUP(DAY(C4),DíasDeTareas,1,FALSE)=DAY(C4)</formula>
    </cfRule>
  </conditionalFormatting>
  <conditionalFormatting sqref="B14:L29 B33:L33 B30:K32">
    <cfRule type="expression" dxfId="45" priority="2">
      <formula>B14&lt;&gt;""</formula>
    </cfRule>
  </conditionalFormatting>
  <conditionalFormatting sqref="L30:L32">
    <cfRule type="expression" dxfId="44" priority="1">
      <formula>L30&lt;&gt;""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P2" xr:uid="{00000000-0002-0000-0000-000000000000}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16</xdr:col>
                    <xdr:colOff>28575</xdr:colOff>
                    <xdr:row>1</xdr:row>
                    <xdr:rowOff>85725</xdr:rowOff>
                  </from>
                  <to>
                    <xdr:col>17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AO33"/>
  <sheetViews>
    <sheetView showGridLines="0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26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IF(DAY(OctDom1)=1,OctDom1-6,OctDom1+1)</f>
        <v>43738</v>
      </c>
      <c r="D4" s="10">
        <f>IF(DAY(OctDom1)=1,OctDom1-5,OctDom1+2)</f>
        <v>43739</v>
      </c>
      <c r="E4" s="10">
        <f>IF(DAY(OctDom1)=1,OctDom1-4,OctDom1+3)</f>
        <v>43740</v>
      </c>
      <c r="F4" s="10">
        <f>IF(DAY(OctDom1)=1,OctDom1-3,OctDom1+4)</f>
        <v>43741</v>
      </c>
      <c r="G4" s="10">
        <f>IF(DAY(OctDom1)=1,OctDom1-2,OctDom1+5)</f>
        <v>43742</v>
      </c>
      <c r="H4" s="10">
        <f>IF(DAY(OctDom1)=1,OctDom1-1,OctDom1+6)</f>
        <v>43743</v>
      </c>
      <c r="I4" s="10">
        <f>IF(DAY(OctDom1)=1,OctDom1,OctDom1+7)</f>
        <v>43744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IF(DAY(OctDom1)=1,OctDom1+1,OctDom1+8)</f>
        <v>43745</v>
      </c>
      <c r="D5" s="10">
        <f>IF(DAY(OctDom1)=1,OctDom1+2,OctDom1+9)</f>
        <v>43746</v>
      </c>
      <c r="E5" s="10">
        <f>IF(DAY(OctDom1)=1,OctDom1+3,OctDom1+10)</f>
        <v>43747</v>
      </c>
      <c r="F5" s="10">
        <f>IF(DAY(OctDom1)=1,OctDom1+4,OctDom1+11)</f>
        <v>43748</v>
      </c>
      <c r="G5" s="10">
        <f>IF(DAY(OctDom1)=1,OctDom1+5,OctDom1+12)</f>
        <v>43749</v>
      </c>
      <c r="H5" s="10">
        <f>IF(DAY(OctDom1)=1,OctDom1+6,OctDom1+13)</f>
        <v>43750</v>
      </c>
      <c r="I5" s="10">
        <f>IF(DAY(OctDom1)=1,OctDom1+7,OctDom1+14)</f>
        <v>43751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IF(DAY(OctDom1)=1,OctDom1+8,OctDom1+15)</f>
        <v>43752</v>
      </c>
      <c r="D6" s="10">
        <f>IF(DAY(OctDom1)=1,OctDom1+9,OctDom1+16)</f>
        <v>43753</v>
      </c>
      <c r="E6" s="10">
        <f>IF(DAY(OctDom1)=1,OctDom1+10,OctDom1+17)</f>
        <v>43754</v>
      </c>
      <c r="F6" s="10">
        <f>IF(DAY(OctDom1)=1,OctDom1+11,OctDom1+18)</f>
        <v>43755</v>
      </c>
      <c r="G6" s="10">
        <f>IF(DAY(OctDom1)=1,OctDom1+12,OctDom1+19)</f>
        <v>43756</v>
      </c>
      <c r="H6" s="10">
        <f>IF(DAY(OctDom1)=1,OctDom1+13,OctDom1+20)</f>
        <v>43757</v>
      </c>
      <c r="I6" s="10">
        <f>IF(DAY(OctDom1)=1,OctDom1+14,OctDom1+21)</f>
        <v>43758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IF(DAY(OctDom1)=1,OctDom1+15,OctDom1+22)</f>
        <v>43759</v>
      </c>
      <c r="D7" s="10">
        <f>IF(DAY(OctDom1)=1,OctDom1+16,OctDom1+23)</f>
        <v>43760</v>
      </c>
      <c r="E7" s="10">
        <f>IF(DAY(OctDom1)=1,OctDom1+17,OctDom1+24)</f>
        <v>43761</v>
      </c>
      <c r="F7" s="10">
        <f>IF(DAY(OctDom1)=1,OctDom1+18,OctDom1+25)</f>
        <v>43762</v>
      </c>
      <c r="G7" s="10">
        <f>IF(DAY(OctDom1)=1,OctDom1+19,OctDom1+26)</f>
        <v>43763</v>
      </c>
      <c r="H7" s="10">
        <f>IF(DAY(OctDom1)=1,OctDom1+20,OctDom1+27)</f>
        <v>43764</v>
      </c>
      <c r="I7" s="10">
        <f>IF(DAY(OctDom1)=1,OctDom1+21,OctDom1+28)</f>
        <v>43765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IF(DAY(OctDom1)=1,OctDom1+22,OctDom1+29)</f>
        <v>43766</v>
      </c>
      <c r="D8" s="10">
        <f>IF(DAY(OctDom1)=1,OctDom1+23,OctDom1+30)</f>
        <v>43767</v>
      </c>
      <c r="E8" s="10">
        <f>IF(DAY(OctDom1)=1,OctDom1+24,OctDom1+31)</f>
        <v>43768</v>
      </c>
      <c r="F8" s="10">
        <f>IF(DAY(OctDom1)=1,OctDom1+25,OctDom1+32)</f>
        <v>43769</v>
      </c>
      <c r="G8" s="10">
        <f>IF(DAY(OctDom1)=1,OctDom1+26,OctDom1+33)</f>
        <v>43770</v>
      </c>
      <c r="H8" s="10">
        <f>IF(DAY(OctDom1)=1,OctDom1+27,OctDom1+34)</f>
        <v>43771</v>
      </c>
      <c r="I8" s="10">
        <f>IF(DAY(OctDom1)=1,OctDom1+28,OctDom1+35)</f>
        <v>43772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IF(DAY(OctDom1)=1,OctDom1+29,OctDom1+36)</f>
        <v>43773</v>
      </c>
      <c r="D9" s="10">
        <f>IF(DAY(OctDom1)=1,OctDom1+30,OctDom1+37)</f>
        <v>43774</v>
      </c>
      <c r="E9" s="10">
        <f>IF(DAY(OctDom1)=1,OctDom1+31,OctDom1+38)</f>
        <v>43775</v>
      </c>
      <c r="F9" s="10">
        <f>IF(DAY(OctDom1)=1,OctDom1+32,OctDom1+39)</f>
        <v>43776</v>
      </c>
      <c r="G9" s="10">
        <f>IF(DAY(OctDom1)=1,OctDom1+33,OctDom1+40)</f>
        <v>43777</v>
      </c>
      <c r="H9" s="10">
        <f>IF(DAY(OctDom1)=1,OctDom1+34,OctDom1+41)</f>
        <v>43778</v>
      </c>
      <c r="I9" s="10">
        <f>IF(DAY(OctDom1)=1,OctDom1+35,OctDom1+42)</f>
        <v>43779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VLOOKUP(DAY(C4),DíasDeTareas,1,FALSE)=DAY(C4)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25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IF(DAY(NovDom1)=1,NovDom1-6,NovDom1+1)</f>
        <v>43766</v>
      </c>
      <c r="D4" s="10">
        <f>IF(DAY(NovDom1)=1,NovDom1-5,NovDom1+2)</f>
        <v>43767</v>
      </c>
      <c r="E4" s="10">
        <f>IF(DAY(NovDom1)=1,NovDom1-4,NovDom1+3)</f>
        <v>43768</v>
      </c>
      <c r="F4" s="10">
        <f>IF(DAY(NovDom1)=1,NovDom1-3,NovDom1+4)</f>
        <v>43769</v>
      </c>
      <c r="G4" s="10">
        <f>IF(DAY(NovDom1)=1,NovDom1-2,NovDom1+5)</f>
        <v>43770</v>
      </c>
      <c r="H4" s="10">
        <f>IF(DAY(NovDom1)=1,NovDom1-1,NovDom1+6)</f>
        <v>43771</v>
      </c>
      <c r="I4" s="10">
        <f>IF(DAY(NovDom1)=1,NovDom1,NovDom1+7)</f>
        <v>43772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IF(DAY(NovDom1)=1,NovDom1+1,NovDom1+8)</f>
        <v>43773</v>
      </c>
      <c r="D5" s="10">
        <f>IF(DAY(NovDom1)=1,NovDom1+2,NovDom1+9)</f>
        <v>43774</v>
      </c>
      <c r="E5" s="10">
        <f>IF(DAY(NovDom1)=1,NovDom1+3,NovDom1+10)</f>
        <v>43775</v>
      </c>
      <c r="F5" s="10">
        <f>IF(DAY(NovDom1)=1,NovDom1+4,NovDom1+11)</f>
        <v>43776</v>
      </c>
      <c r="G5" s="10">
        <f>IF(DAY(NovDom1)=1,NovDom1+5,NovDom1+12)</f>
        <v>43777</v>
      </c>
      <c r="H5" s="10">
        <f>IF(DAY(NovDom1)=1,NovDom1+6,NovDom1+13)</f>
        <v>43778</v>
      </c>
      <c r="I5" s="10">
        <f>IF(DAY(NovDom1)=1,NovDom1+7,NovDom1+14)</f>
        <v>43779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IF(DAY(NovDom1)=1,NovDom1+8,NovDom1+15)</f>
        <v>43780</v>
      </c>
      <c r="D6" s="10">
        <f>IF(DAY(NovDom1)=1,NovDom1+9,NovDom1+16)</f>
        <v>43781</v>
      </c>
      <c r="E6" s="10">
        <f>IF(DAY(NovDom1)=1,NovDom1+10,NovDom1+17)</f>
        <v>43782</v>
      </c>
      <c r="F6" s="10">
        <f>IF(DAY(NovDom1)=1,NovDom1+11,NovDom1+18)</f>
        <v>43783</v>
      </c>
      <c r="G6" s="10">
        <f>IF(DAY(NovDom1)=1,NovDom1+12,NovDom1+19)</f>
        <v>43784</v>
      </c>
      <c r="H6" s="10">
        <f>IF(DAY(NovDom1)=1,NovDom1+13,NovDom1+20)</f>
        <v>43785</v>
      </c>
      <c r="I6" s="10">
        <f>IF(DAY(NovDom1)=1,NovDom1+14,NovDom1+21)</f>
        <v>43786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IF(DAY(NovDom1)=1,NovDom1+15,NovDom1+22)</f>
        <v>43787</v>
      </c>
      <c r="D7" s="10">
        <f>IF(DAY(NovDom1)=1,NovDom1+16,NovDom1+23)</f>
        <v>43788</v>
      </c>
      <c r="E7" s="10">
        <f>IF(DAY(NovDom1)=1,NovDom1+17,NovDom1+24)</f>
        <v>43789</v>
      </c>
      <c r="F7" s="10">
        <f>IF(DAY(NovDom1)=1,NovDom1+18,NovDom1+25)</f>
        <v>43790</v>
      </c>
      <c r="G7" s="10">
        <f>IF(DAY(NovDom1)=1,NovDom1+19,NovDom1+26)</f>
        <v>43791</v>
      </c>
      <c r="H7" s="10">
        <f>IF(DAY(NovDom1)=1,NovDom1+20,NovDom1+27)</f>
        <v>43792</v>
      </c>
      <c r="I7" s="10">
        <f>IF(DAY(NovDom1)=1,NovDom1+21,NovDom1+28)</f>
        <v>43793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IF(DAY(NovDom1)=1,NovDom1+22,NovDom1+29)</f>
        <v>43794</v>
      </c>
      <c r="D8" s="10">
        <f>IF(DAY(NovDom1)=1,NovDom1+23,NovDom1+30)</f>
        <v>43795</v>
      </c>
      <c r="E8" s="10">
        <f>IF(DAY(NovDom1)=1,NovDom1+24,NovDom1+31)</f>
        <v>43796</v>
      </c>
      <c r="F8" s="10">
        <f>IF(DAY(NovDom1)=1,NovDom1+25,NovDom1+32)</f>
        <v>43797</v>
      </c>
      <c r="G8" s="10">
        <f>IF(DAY(NovDom1)=1,NovDom1+26,NovDom1+33)</f>
        <v>43798</v>
      </c>
      <c r="H8" s="10">
        <f>IF(DAY(NovDom1)=1,NovDom1+27,NovDom1+34)</f>
        <v>43799</v>
      </c>
      <c r="I8" s="10">
        <f>IF(DAY(NovDom1)=1,NovDom1+28,NovDom1+35)</f>
        <v>43800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IF(DAY(NovDom1)=1,NovDom1+29,NovDom1+36)</f>
        <v>43801</v>
      </c>
      <c r="D9" s="10">
        <f>IF(DAY(NovDom1)=1,NovDom1+30,NovDom1+37)</f>
        <v>43802</v>
      </c>
      <c r="E9" s="10">
        <f>IF(DAY(NovDom1)=1,NovDom1+31,NovDom1+38)</f>
        <v>43803</v>
      </c>
      <c r="F9" s="10">
        <f>IF(DAY(NovDom1)=1,NovDom1+32,NovDom1+39)</f>
        <v>43804</v>
      </c>
      <c r="G9" s="10">
        <f>IF(DAY(NovDom1)=1,NovDom1+33,NovDom1+40)</f>
        <v>43805</v>
      </c>
      <c r="H9" s="10">
        <f>IF(DAY(NovDom1)=1,NovDom1+34,NovDom1+41)</f>
        <v>43806</v>
      </c>
      <c r="I9" s="10">
        <f>IF(DAY(NovDom1)=1,NovDom1+35,NovDom1+42)</f>
        <v>43807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VLOOKUP(DAY(C4),DíasDeTareas,1,FALSE)=DAY(C4)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AO33"/>
  <sheetViews>
    <sheetView showGridLines="0" tabSelected="1" zoomScaleNormal="100" zoomScalePageLayoutView="84" workbookViewId="0">
      <selection activeCell="C17" sqref="C17:D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14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IF(DAY(DicDom1)=1,DicDom1-6,DicDom1+1)</f>
        <v>43794</v>
      </c>
      <c r="D4" s="10">
        <f>IF(DAY(DicDom1)=1,DicDom1-5,DicDom1+2)</f>
        <v>43795</v>
      </c>
      <c r="E4" s="10">
        <f>IF(DAY(DicDom1)=1,DicDom1-4,DicDom1+3)</f>
        <v>43796</v>
      </c>
      <c r="F4" s="10">
        <f>IF(DAY(DicDom1)=1,DicDom1-3,DicDom1+4)</f>
        <v>43797</v>
      </c>
      <c r="G4" s="10">
        <f>IF(DAY(DicDom1)=1,DicDom1-2,DicDom1+5)</f>
        <v>43798</v>
      </c>
      <c r="H4" s="10">
        <f>IF(DAY(DicDom1)=1,DicDom1-1,DicDom1+6)</f>
        <v>43799</v>
      </c>
      <c r="I4" s="10">
        <f>IF(DAY(DicDom1)=1,DicDom1,DicDom1+7)</f>
        <v>43800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IF(DAY(DicDom1)=1,DicDom1+1,DicDom1+8)</f>
        <v>43801</v>
      </c>
      <c r="D5" s="10">
        <f>IF(DAY(DicDom1)=1,DicDom1+2,DicDom1+9)</f>
        <v>43802</v>
      </c>
      <c r="E5" s="10">
        <f>IF(DAY(DicDom1)=1,DicDom1+3,DicDom1+10)</f>
        <v>43803</v>
      </c>
      <c r="F5" s="10">
        <f>IF(DAY(DicDom1)=1,DicDom1+4,DicDom1+11)</f>
        <v>43804</v>
      </c>
      <c r="G5" s="10">
        <f>IF(DAY(DicDom1)=1,DicDom1+5,DicDom1+12)</f>
        <v>43805</v>
      </c>
      <c r="H5" s="10">
        <f>IF(DAY(DicDom1)=1,DicDom1+6,DicDom1+13)</f>
        <v>43806</v>
      </c>
      <c r="I5" s="10">
        <f>IF(DAY(DicDom1)=1,DicDom1+7,DicDom1+14)</f>
        <v>43807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IF(DAY(DicDom1)=1,DicDom1+8,DicDom1+15)</f>
        <v>43808</v>
      </c>
      <c r="D6" s="10">
        <f>IF(DAY(DicDom1)=1,DicDom1+9,DicDom1+16)</f>
        <v>43809</v>
      </c>
      <c r="E6" s="10">
        <f>IF(DAY(DicDom1)=1,DicDom1+10,DicDom1+17)</f>
        <v>43810</v>
      </c>
      <c r="F6" s="10">
        <f>IF(DAY(DicDom1)=1,DicDom1+11,DicDom1+18)</f>
        <v>43811</v>
      </c>
      <c r="G6" s="10">
        <f>IF(DAY(DicDom1)=1,DicDom1+12,DicDom1+19)</f>
        <v>43812</v>
      </c>
      <c r="H6" s="10">
        <f>IF(DAY(DicDom1)=1,DicDom1+13,DicDom1+20)</f>
        <v>43813</v>
      </c>
      <c r="I6" s="10">
        <f>IF(DAY(DicDom1)=1,DicDom1+14,DicDom1+21)</f>
        <v>43814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IF(DAY(DicDom1)=1,DicDom1+15,DicDom1+22)</f>
        <v>43815</v>
      </c>
      <c r="D7" s="10">
        <f>IF(DAY(DicDom1)=1,DicDom1+16,DicDom1+23)</f>
        <v>43816</v>
      </c>
      <c r="E7" s="10">
        <f>IF(DAY(DicDom1)=1,DicDom1+17,DicDom1+24)</f>
        <v>43817</v>
      </c>
      <c r="F7" s="10">
        <f>IF(DAY(DicDom1)=1,DicDom1+18,DicDom1+25)</f>
        <v>43818</v>
      </c>
      <c r="G7" s="10">
        <f>IF(DAY(DicDom1)=1,DicDom1+19,DicDom1+26)</f>
        <v>43819</v>
      </c>
      <c r="H7" s="10">
        <f>IF(DAY(DicDom1)=1,DicDom1+20,DicDom1+27)</f>
        <v>43820</v>
      </c>
      <c r="I7" s="10">
        <f>IF(DAY(DicDom1)=1,DicDom1+21,DicDom1+28)</f>
        <v>43821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IF(DAY(DicDom1)=1,DicDom1+22,DicDom1+29)</f>
        <v>43822</v>
      </c>
      <c r="D8" s="10">
        <f>IF(DAY(DicDom1)=1,DicDom1+23,DicDom1+30)</f>
        <v>43823</v>
      </c>
      <c r="E8" s="10">
        <f>IF(DAY(DicDom1)=1,DicDom1+24,DicDom1+31)</f>
        <v>43824</v>
      </c>
      <c r="F8" s="10">
        <f>IF(DAY(DicDom1)=1,DicDom1+25,DicDom1+32)</f>
        <v>43825</v>
      </c>
      <c r="G8" s="10">
        <f>IF(DAY(DicDom1)=1,DicDom1+26,DicDom1+33)</f>
        <v>43826</v>
      </c>
      <c r="H8" s="10">
        <f>IF(DAY(DicDom1)=1,DicDom1+27,DicDom1+34)</f>
        <v>43827</v>
      </c>
      <c r="I8" s="10">
        <f>IF(DAY(DicDom1)=1,DicDom1+28,DicDom1+35)</f>
        <v>43828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IF(DAY(DicDom1)=1,DicDom1+29,DicDom1+36)</f>
        <v>43829</v>
      </c>
      <c r="D9" s="10">
        <f>IF(DAY(DicDom1)=1,DicDom1+30,DicDom1+37)</f>
        <v>43830</v>
      </c>
      <c r="E9" s="10">
        <f>IF(DAY(DicDom1)=1,DicDom1+31,DicDom1+38)</f>
        <v>43831</v>
      </c>
      <c r="F9" s="10">
        <f>IF(DAY(DicDom1)=1,DicDom1+32,DicDom1+39)</f>
        <v>43832</v>
      </c>
      <c r="G9" s="10">
        <f>IF(DAY(DicDom1)=1,DicDom1+33,DicDom1+40)</f>
        <v>43833</v>
      </c>
      <c r="H9" s="10">
        <f>IF(DAY(DicDom1)=1,DicDom1+34,DicDom1+41)</f>
        <v>43834</v>
      </c>
      <c r="I9" s="10">
        <f>IF(DAY(DicDom1)=1,DicDom1+35,DicDom1+42)</f>
        <v>43835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VLOOKUP(DAY(C4),DíasDeTareas,1,FALSE)=DAY(C4)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O33"/>
  <sheetViews>
    <sheetView showGridLines="0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34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IF(DAY(FebDom1)=1,FebDom1-6,FebDom1+1)</f>
        <v>43493</v>
      </c>
      <c r="D4" s="10">
        <f>IF(DAY(FebDom1)=1,FebDom1-5,FebDom1+2)</f>
        <v>43494</v>
      </c>
      <c r="E4" s="10">
        <f>IF(DAY(FebDom1)=1,FebDom1-4,FebDom1+3)</f>
        <v>43495</v>
      </c>
      <c r="F4" s="10">
        <f>IF(DAY(FebDom1)=1,FebDom1-3,FebDom1+4)</f>
        <v>43496</v>
      </c>
      <c r="G4" s="10">
        <f>IF(DAY(FebDom1)=1,FebDom1-2,FebDom1+5)</f>
        <v>43497</v>
      </c>
      <c r="H4" s="10">
        <f>IF(DAY(FebDom1)=1,FebDom1-1,FebDom1+6)</f>
        <v>43498</v>
      </c>
      <c r="I4" s="10">
        <f>IF(DAY(FebDom1)=1,FebDom1,FebDom1+7)</f>
        <v>43499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IF(DAY(FebDom1)=1,FebDom1+1,FebDom1+8)</f>
        <v>43500</v>
      </c>
      <c r="D5" s="10">
        <f>IF(DAY(FebDom1)=1,FebDom1+2,FebDom1+9)</f>
        <v>43501</v>
      </c>
      <c r="E5" s="10">
        <f>IF(DAY(FebDom1)=1,FebDom1+3,FebDom1+10)</f>
        <v>43502</v>
      </c>
      <c r="F5" s="10">
        <f>IF(DAY(FebDom1)=1,FebDom1+4,FebDom1+11)</f>
        <v>43503</v>
      </c>
      <c r="G5" s="10">
        <f>IF(DAY(FebDom1)=1,FebDom1+5,FebDom1+12)</f>
        <v>43504</v>
      </c>
      <c r="H5" s="10">
        <f>IF(DAY(FebDom1)=1,FebDom1+6,FebDom1+13)</f>
        <v>43505</v>
      </c>
      <c r="I5" s="10">
        <f>IF(DAY(FebDom1)=1,FebDom1+7,FebDom1+14)</f>
        <v>43506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IF(DAY(FebDom1)=1,FebDom1+8,FebDom1+15)</f>
        <v>43507</v>
      </c>
      <c r="D6" s="10">
        <f>IF(DAY(FebDom1)=1,FebDom1+9,FebDom1+16)</f>
        <v>43508</v>
      </c>
      <c r="E6" s="10">
        <f>IF(DAY(FebDom1)=1,FebDom1+10,FebDom1+17)</f>
        <v>43509</v>
      </c>
      <c r="F6" s="10">
        <f>IF(DAY(FebDom1)=1,FebDom1+11,FebDom1+18)</f>
        <v>43510</v>
      </c>
      <c r="G6" s="10">
        <f>IF(DAY(FebDom1)=1,FebDom1+12,FebDom1+19)</f>
        <v>43511</v>
      </c>
      <c r="H6" s="10">
        <f>IF(DAY(FebDom1)=1,FebDom1+13,FebDom1+20)</f>
        <v>43512</v>
      </c>
      <c r="I6" s="10">
        <f>IF(DAY(FebDom1)=1,FebDom1+14,FebDom1+21)</f>
        <v>43513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IF(DAY(FebDom1)=1,FebDom1+15,FebDom1+22)</f>
        <v>43514</v>
      </c>
      <c r="D7" s="10">
        <f>IF(DAY(FebDom1)=1,FebDom1+16,FebDom1+23)</f>
        <v>43515</v>
      </c>
      <c r="E7" s="10">
        <f>IF(DAY(FebDom1)=1,FebDom1+17,FebDom1+24)</f>
        <v>43516</v>
      </c>
      <c r="F7" s="10">
        <f>IF(DAY(FebDom1)=1,FebDom1+18,FebDom1+25)</f>
        <v>43517</v>
      </c>
      <c r="G7" s="10">
        <f>IF(DAY(FebDom1)=1,FebDom1+19,FebDom1+26)</f>
        <v>43518</v>
      </c>
      <c r="H7" s="10">
        <f>IF(DAY(FebDom1)=1,FebDom1+20,FebDom1+27)</f>
        <v>43519</v>
      </c>
      <c r="I7" s="10">
        <f>IF(DAY(FebDom1)=1,FebDom1+21,FebDom1+28)</f>
        <v>43520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IF(DAY(FebDom1)=1,FebDom1+22,FebDom1+29)</f>
        <v>43521</v>
      </c>
      <c r="D8" s="10">
        <f>IF(DAY(FebDom1)=1,FebDom1+23,FebDom1+30)</f>
        <v>43522</v>
      </c>
      <c r="E8" s="10">
        <f>IF(DAY(FebDom1)=1,FebDom1+24,FebDom1+31)</f>
        <v>43523</v>
      </c>
      <c r="F8" s="10">
        <f>IF(DAY(FebDom1)=1,FebDom1+25,FebDom1+32)</f>
        <v>43524</v>
      </c>
      <c r="G8" s="10">
        <f>IF(DAY(FebDom1)=1,FebDom1+26,FebDom1+33)</f>
        <v>43525</v>
      </c>
      <c r="H8" s="10">
        <f>IF(DAY(FebDom1)=1,FebDom1+27,FebDom1+34)</f>
        <v>43526</v>
      </c>
      <c r="I8" s="10">
        <f>IF(DAY(FebDom1)=1,FebDom1+28,FebDom1+35)</f>
        <v>43527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IF(DAY(FebDom1)=1,FebDom1+29,FebDom1+36)</f>
        <v>43528</v>
      </c>
      <c r="D9" s="10">
        <f>IF(DAY(FebDom1)=1,FebDom1+30,FebDom1+37)</f>
        <v>43529</v>
      </c>
      <c r="E9" s="10">
        <f>IF(DAY(FebDom1)=1,FebDom1+31,FebDom1+38)</f>
        <v>43530</v>
      </c>
      <c r="F9" s="10">
        <f>IF(DAY(FebDom1)=1,FebDom1+32,FebDom1+39)</f>
        <v>43531</v>
      </c>
      <c r="G9" s="10">
        <f>IF(DAY(FebDom1)=1,FebDom1+33,FebDom1+40)</f>
        <v>43532</v>
      </c>
      <c r="H9" s="10">
        <f>IF(DAY(FebDom1)=1,FebDom1+34,FebDom1+41)</f>
        <v>43533</v>
      </c>
      <c r="I9" s="10">
        <f>IF(DAY(FebDom1)=1,FebDom1+35,FebDom1+42)</f>
        <v>43534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VLOOKUP(DAY(C4),DíasDeTareas,1,FALSE)=DAY(C4)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33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IF(DAY(MarDom1)=1,MarDom1-6,MarDom1+1)</f>
        <v>43521</v>
      </c>
      <c r="D4" s="10">
        <f>IF(DAY(MarDom1)=1,MarDom1-5,MarDom1+2)</f>
        <v>43522</v>
      </c>
      <c r="E4" s="10">
        <f>IF(DAY(MarDom1)=1,MarDom1-4,MarDom1+3)</f>
        <v>43523</v>
      </c>
      <c r="F4" s="10">
        <f>IF(DAY(MarDom1)=1,MarDom1-3,MarDom1+4)</f>
        <v>43524</v>
      </c>
      <c r="G4" s="10">
        <f>IF(DAY(MarDom1)=1,MarDom1-2,MarDom1+5)</f>
        <v>43525</v>
      </c>
      <c r="H4" s="10">
        <f>IF(DAY(MarDom1)=1,MarDom1-1,MarDom1+6)</f>
        <v>43526</v>
      </c>
      <c r="I4" s="10">
        <f>IF(DAY(MarDom1)=1,MarDom1,MarDom1+7)</f>
        <v>43527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IF(DAY(MarDom1)=1,MarDom1+1,MarDom1+8)</f>
        <v>43528</v>
      </c>
      <c r="D5" s="10">
        <f>IF(DAY(MarDom1)=1,MarDom1+2,MarDom1+9)</f>
        <v>43529</v>
      </c>
      <c r="E5" s="10">
        <f>IF(DAY(MarDom1)=1,MarDom1+3,MarDom1+10)</f>
        <v>43530</v>
      </c>
      <c r="F5" s="10">
        <f>IF(DAY(MarDom1)=1,MarDom1+4,MarDom1+11)</f>
        <v>43531</v>
      </c>
      <c r="G5" s="10">
        <f>IF(DAY(MarDom1)=1,MarDom1+5,MarDom1+12)</f>
        <v>43532</v>
      </c>
      <c r="H5" s="10">
        <f>IF(DAY(MarDom1)=1,MarDom1+6,MarDom1+13)</f>
        <v>43533</v>
      </c>
      <c r="I5" s="10">
        <f>IF(DAY(MarDom1)=1,MarDom1+7,MarDom1+14)</f>
        <v>43534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IF(DAY(MarDom1)=1,MarDom1+8,MarDom1+15)</f>
        <v>43535</v>
      </c>
      <c r="D6" s="10">
        <f>IF(DAY(MarDom1)=1,MarDom1+9,MarDom1+16)</f>
        <v>43536</v>
      </c>
      <c r="E6" s="10">
        <f>IF(DAY(MarDom1)=1,MarDom1+10,MarDom1+17)</f>
        <v>43537</v>
      </c>
      <c r="F6" s="10">
        <f>IF(DAY(MarDom1)=1,MarDom1+11,MarDom1+18)</f>
        <v>43538</v>
      </c>
      <c r="G6" s="10">
        <f>IF(DAY(MarDom1)=1,MarDom1+12,MarDom1+19)</f>
        <v>43539</v>
      </c>
      <c r="H6" s="10">
        <f>IF(DAY(MarDom1)=1,MarDom1+13,MarDom1+20)</f>
        <v>43540</v>
      </c>
      <c r="I6" s="10">
        <f>IF(DAY(MarDom1)=1,MarDom1+14,MarDom1+21)</f>
        <v>43541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IF(DAY(MarDom1)=1,MarDom1+15,MarDom1+22)</f>
        <v>43542</v>
      </c>
      <c r="D7" s="10">
        <f>IF(DAY(MarDom1)=1,MarDom1+16,MarDom1+23)</f>
        <v>43543</v>
      </c>
      <c r="E7" s="10">
        <f>IF(DAY(MarDom1)=1,MarDom1+17,MarDom1+24)</f>
        <v>43544</v>
      </c>
      <c r="F7" s="10">
        <f>IF(DAY(MarDom1)=1,MarDom1+18,MarDom1+25)</f>
        <v>43545</v>
      </c>
      <c r="G7" s="10">
        <f>IF(DAY(MarDom1)=1,MarDom1+19,MarDom1+26)</f>
        <v>43546</v>
      </c>
      <c r="H7" s="10">
        <f>IF(DAY(MarDom1)=1,MarDom1+20,MarDom1+27)</f>
        <v>43547</v>
      </c>
      <c r="I7" s="10">
        <f>IF(DAY(MarDom1)=1,MarDom1+21,MarDom1+28)</f>
        <v>43548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IF(DAY(MarDom1)=1,MarDom1+22,MarDom1+29)</f>
        <v>43549</v>
      </c>
      <c r="D8" s="10">
        <f>IF(DAY(MarDom1)=1,MarDom1+23,MarDom1+30)</f>
        <v>43550</v>
      </c>
      <c r="E8" s="10">
        <f>IF(DAY(MarDom1)=1,MarDom1+24,MarDom1+31)</f>
        <v>43551</v>
      </c>
      <c r="F8" s="10">
        <f>IF(DAY(MarDom1)=1,MarDom1+25,MarDom1+32)</f>
        <v>43552</v>
      </c>
      <c r="G8" s="10">
        <f>IF(DAY(MarDom1)=1,MarDom1+26,MarDom1+33)</f>
        <v>43553</v>
      </c>
      <c r="H8" s="10">
        <f>IF(DAY(MarDom1)=1,MarDom1+27,MarDom1+34)</f>
        <v>43554</v>
      </c>
      <c r="I8" s="10">
        <f>IF(DAY(MarDom1)=1,MarDom1+28,MarDom1+35)</f>
        <v>43555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IF(DAY(MarDom1)=1,MarDom1+29,MarDom1+36)</f>
        <v>43556</v>
      </c>
      <c r="D9" s="10">
        <f>IF(DAY(MarDom1)=1,MarDom1+30,MarDom1+37)</f>
        <v>43557</v>
      </c>
      <c r="E9" s="10">
        <f>IF(DAY(MarDom1)=1,MarDom1+31,MarDom1+38)</f>
        <v>43558</v>
      </c>
      <c r="F9" s="10">
        <f>IF(DAY(MarDom1)=1,MarDom1+32,MarDom1+39)</f>
        <v>43559</v>
      </c>
      <c r="G9" s="10">
        <f>IF(DAY(MarDom1)=1,MarDom1+33,MarDom1+40)</f>
        <v>43560</v>
      </c>
      <c r="H9" s="10">
        <f>IF(DAY(MarDom1)=1,MarDom1+34,MarDom1+41)</f>
        <v>43561</v>
      </c>
      <c r="I9" s="10">
        <f>IF(DAY(MarDom1)=1,MarDom1+35,MarDom1+42)</f>
        <v>43562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VLOOKUP(DAY(C4),DíasDeTareas,1,FALSE)=DAY(C4)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32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IF(DAY(AbrDom1)=1,AbrDom1-6,AbrDom1+1)</f>
        <v>43556</v>
      </c>
      <c r="D4" s="10">
        <f>IF(DAY(AbrDom1)=1,AbrDom1-5,AbrDom1+2)</f>
        <v>43557</v>
      </c>
      <c r="E4" s="10">
        <f>IF(DAY(AbrDom1)=1,AbrDom1-4,AbrDom1+3)</f>
        <v>43558</v>
      </c>
      <c r="F4" s="10">
        <f>IF(DAY(AbrDom1)=1,AbrDom1-3,AbrDom1+4)</f>
        <v>43559</v>
      </c>
      <c r="G4" s="10">
        <f>IF(DAY(AbrDom1)=1,AbrDom1-2,AbrDom1+5)</f>
        <v>43560</v>
      </c>
      <c r="H4" s="10">
        <f>IF(DAY(AbrDom1)=1,AbrDom1-1,AbrDom1+6)</f>
        <v>43561</v>
      </c>
      <c r="I4" s="10">
        <f>IF(DAY(AbrDom1)=1,AbrDom1,AbrDom1+7)</f>
        <v>43562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IF(DAY(AbrDom1)=1,AbrDom1+1,AbrDom1+8)</f>
        <v>43563</v>
      </c>
      <c r="D5" s="10">
        <f>IF(DAY(AbrDom1)=1,AbrDom1+2,AbrDom1+9)</f>
        <v>43564</v>
      </c>
      <c r="E5" s="10">
        <f>IF(DAY(AbrDom1)=1,AbrDom1+3,AbrDom1+10)</f>
        <v>43565</v>
      </c>
      <c r="F5" s="10">
        <f>IF(DAY(AbrDom1)=1,AbrDom1+4,AbrDom1+11)</f>
        <v>43566</v>
      </c>
      <c r="G5" s="10">
        <f>IF(DAY(AbrDom1)=1,AbrDom1+5,AbrDom1+12)</f>
        <v>43567</v>
      </c>
      <c r="H5" s="10">
        <f>IF(DAY(AbrDom1)=1,AbrDom1+6,AbrDom1+13)</f>
        <v>43568</v>
      </c>
      <c r="I5" s="10">
        <f>IF(DAY(AbrDom1)=1,AbrDom1+7,AbrDom1+14)</f>
        <v>43569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IF(DAY(AbrDom1)=1,AbrDom1+8,AbrDom1+15)</f>
        <v>43570</v>
      </c>
      <c r="D6" s="10">
        <f>IF(DAY(AbrDom1)=1,AbrDom1+9,AbrDom1+16)</f>
        <v>43571</v>
      </c>
      <c r="E6" s="10">
        <f>IF(DAY(AbrDom1)=1,AbrDom1+10,AbrDom1+17)</f>
        <v>43572</v>
      </c>
      <c r="F6" s="10">
        <f>IF(DAY(AbrDom1)=1,AbrDom1+11,AbrDom1+18)</f>
        <v>43573</v>
      </c>
      <c r="G6" s="10">
        <f>IF(DAY(AbrDom1)=1,AbrDom1+12,AbrDom1+19)</f>
        <v>43574</v>
      </c>
      <c r="H6" s="10">
        <f>IF(DAY(AbrDom1)=1,AbrDom1+13,AbrDom1+20)</f>
        <v>43575</v>
      </c>
      <c r="I6" s="10">
        <f>IF(DAY(AbrDom1)=1,AbrDom1+14,AbrDom1+21)</f>
        <v>43576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IF(DAY(AbrDom1)=1,AbrDom1+15,AbrDom1+22)</f>
        <v>43577</v>
      </c>
      <c r="D7" s="10">
        <f>IF(DAY(AbrDom1)=1,AbrDom1+16,AbrDom1+23)</f>
        <v>43578</v>
      </c>
      <c r="E7" s="10">
        <f>IF(DAY(AbrDom1)=1,AbrDom1+17,AbrDom1+24)</f>
        <v>43579</v>
      </c>
      <c r="F7" s="10">
        <f>IF(DAY(AbrDom1)=1,AbrDom1+18,AbrDom1+25)</f>
        <v>43580</v>
      </c>
      <c r="G7" s="10">
        <f>IF(DAY(AbrDom1)=1,AbrDom1+19,AbrDom1+26)</f>
        <v>43581</v>
      </c>
      <c r="H7" s="10">
        <f>IF(DAY(AbrDom1)=1,AbrDom1+20,AbrDom1+27)</f>
        <v>43582</v>
      </c>
      <c r="I7" s="10">
        <f>IF(DAY(AbrDom1)=1,AbrDom1+21,AbrDom1+28)</f>
        <v>43583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IF(DAY(AbrDom1)=1,AbrDom1+22,AbrDom1+29)</f>
        <v>43584</v>
      </c>
      <c r="D8" s="10">
        <f>IF(DAY(AbrDom1)=1,AbrDom1+23,AbrDom1+30)</f>
        <v>43585</v>
      </c>
      <c r="E8" s="10">
        <f>IF(DAY(AbrDom1)=1,AbrDom1+24,AbrDom1+31)</f>
        <v>43586</v>
      </c>
      <c r="F8" s="10">
        <f>IF(DAY(AbrDom1)=1,AbrDom1+25,AbrDom1+32)</f>
        <v>43587</v>
      </c>
      <c r="G8" s="10">
        <f>IF(DAY(AbrDom1)=1,AbrDom1+26,AbrDom1+33)</f>
        <v>43588</v>
      </c>
      <c r="H8" s="10">
        <f>IF(DAY(AbrDom1)=1,AbrDom1+27,AbrDom1+34)</f>
        <v>43589</v>
      </c>
      <c r="I8" s="10">
        <f>IF(DAY(AbrDom1)=1,AbrDom1+28,AbrDom1+35)</f>
        <v>43590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IF(DAY(AbrDom1)=1,AbrDom1+29,AbrDom1+36)</f>
        <v>43591</v>
      </c>
      <c r="D9" s="10">
        <f>IF(DAY(AbrDom1)=1,AbrDom1+30,AbrDom1+37)</f>
        <v>43592</v>
      </c>
      <c r="E9" s="10">
        <f>IF(DAY(AbrDom1)=1,AbrDom1+31,AbrDom1+38)</f>
        <v>43593</v>
      </c>
      <c r="F9" s="10">
        <f>IF(DAY(AbrDom1)=1,AbrDom1+32,AbrDom1+39)</f>
        <v>43594</v>
      </c>
      <c r="G9" s="10">
        <f>IF(DAY(AbrDom1)=1,AbrDom1+33,AbrDom1+40)</f>
        <v>43595</v>
      </c>
      <c r="H9" s="10">
        <f>IF(DAY(AbrDom1)=1,AbrDom1+34,AbrDom1+41)</f>
        <v>43596</v>
      </c>
      <c r="I9" s="10">
        <f>IF(DAY(AbrDom1)=1,AbrDom1+35,AbrDom1+42)</f>
        <v>43597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VLOOKUP(DAY(C4),DíasDeTareas,1,FALSE)=DAY(C4)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31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IF(DAY(MayDom1)=1,MayDom1-6,MayDom1+1)</f>
        <v>43584</v>
      </c>
      <c r="D4" s="10">
        <f>IF(DAY(MayDom1)=1,MayDom1-5,MayDom1+2)</f>
        <v>43585</v>
      </c>
      <c r="E4" s="10">
        <f>IF(DAY(MayDom1)=1,MayDom1-4,MayDom1+3)</f>
        <v>43586</v>
      </c>
      <c r="F4" s="10">
        <f>IF(DAY(MayDom1)=1,MayDom1-3,MayDom1+4)</f>
        <v>43587</v>
      </c>
      <c r="G4" s="10">
        <f>IF(DAY(MayDom1)=1,MayDom1-2,MayDom1+5)</f>
        <v>43588</v>
      </c>
      <c r="H4" s="10">
        <f>IF(DAY(MayDom1)=1,MayDom1-1,MayDom1+6)</f>
        <v>43589</v>
      </c>
      <c r="I4" s="10">
        <f>IF(DAY(MayDom1)=1,MayDom1,MayDom1+7)</f>
        <v>43590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IF(DAY(MayDom1)=1,MayDom1+1,MayDom1+8)</f>
        <v>43591</v>
      </c>
      <c r="D5" s="10">
        <f>IF(DAY(MayDom1)=1,MayDom1+2,MayDom1+9)</f>
        <v>43592</v>
      </c>
      <c r="E5" s="10">
        <f>IF(DAY(MayDom1)=1,MayDom1+3,MayDom1+10)</f>
        <v>43593</v>
      </c>
      <c r="F5" s="10">
        <f>IF(DAY(MayDom1)=1,MayDom1+4,MayDom1+11)</f>
        <v>43594</v>
      </c>
      <c r="G5" s="10">
        <f>IF(DAY(MayDom1)=1,MayDom1+5,MayDom1+12)</f>
        <v>43595</v>
      </c>
      <c r="H5" s="10">
        <f>IF(DAY(MayDom1)=1,MayDom1+6,MayDom1+13)</f>
        <v>43596</v>
      </c>
      <c r="I5" s="10">
        <f>IF(DAY(MayDom1)=1,MayDom1+7,MayDom1+14)</f>
        <v>43597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IF(DAY(MayDom1)=1,MayDom1+8,MayDom1+15)</f>
        <v>43598</v>
      </c>
      <c r="D6" s="10">
        <f>IF(DAY(MayDom1)=1,MayDom1+9,MayDom1+16)</f>
        <v>43599</v>
      </c>
      <c r="E6" s="10">
        <f>IF(DAY(MayDom1)=1,MayDom1+10,MayDom1+17)</f>
        <v>43600</v>
      </c>
      <c r="F6" s="10">
        <f>IF(DAY(MayDom1)=1,MayDom1+11,MayDom1+18)</f>
        <v>43601</v>
      </c>
      <c r="G6" s="10">
        <f>IF(DAY(MayDom1)=1,MayDom1+12,MayDom1+19)</f>
        <v>43602</v>
      </c>
      <c r="H6" s="10">
        <f>IF(DAY(MayDom1)=1,MayDom1+13,MayDom1+20)</f>
        <v>43603</v>
      </c>
      <c r="I6" s="10">
        <f>IF(DAY(MayDom1)=1,MayDom1+14,MayDom1+21)</f>
        <v>43604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IF(DAY(MayDom1)=1,MayDom1+15,MayDom1+22)</f>
        <v>43605</v>
      </c>
      <c r="D7" s="10">
        <f>IF(DAY(MayDom1)=1,MayDom1+16,MayDom1+23)</f>
        <v>43606</v>
      </c>
      <c r="E7" s="10">
        <f>IF(DAY(MayDom1)=1,MayDom1+17,MayDom1+24)</f>
        <v>43607</v>
      </c>
      <c r="F7" s="10">
        <f>IF(DAY(MayDom1)=1,MayDom1+18,MayDom1+25)</f>
        <v>43608</v>
      </c>
      <c r="G7" s="10">
        <f>IF(DAY(MayDom1)=1,MayDom1+19,MayDom1+26)</f>
        <v>43609</v>
      </c>
      <c r="H7" s="10">
        <f>IF(DAY(MayDom1)=1,MayDom1+20,MayDom1+27)</f>
        <v>43610</v>
      </c>
      <c r="I7" s="10">
        <f>IF(DAY(MayDom1)=1,MayDom1+21,MayDom1+28)</f>
        <v>43611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IF(DAY(MayDom1)=1,MayDom1+22,MayDom1+29)</f>
        <v>43612</v>
      </c>
      <c r="D8" s="10">
        <f>IF(DAY(MayDom1)=1,MayDom1+23,MayDom1+30)</f>
        <v>43613</v>
      </c>
      <c r="E8" s="10">
        <f>IF(DAY(MayDom1)=1,MayDom1+24,MayDom1+31)</f>
        <v>43614</v>
      </c>
      <c r="F8" s="10">
        <f>IF(DAY(MayDom1)=1,MayDom1+25,MayDom1+32)</f>
        <v>43615</v>
      </c>
      <c r="G8" s="10">
        <f>IF(DAY(MayDom1)=1,MayDom1+26,MayDom1+33)</f>
        <v>43616</v>
      </c>
      <c r="H8" s="10">
        <f>IF(DAY(MayDom1)=1,MayDom1+27,MayDom1+34)</f>
        <v>43617</v>
      </c>
      <c r="I8" s="10">
        <f>IF(DAY(MayDom1)=1,MayDom1+28,MayDom1+35)</f>
        <v>43618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IF(DAY(MayDom1)=1,MayDom1+29,MayDom1+36)</f>
        <v>43619</v>
      </c>
      <c r="D9" s="10">
        <f>IF(DAY(MayDom1)=1,MayDom1+30,MayDom1+37)</f>
        <v>43620</v>
      </c>
      <c r="E9" s="10">
        <f>IF(DAY(MayDom1)=1,MayDom1+31,MayDom1+38)</f>
        <v>43621</v>
      </c>
      <c r="F9" s="10">
        <f>IF(DAY(MayDom1)=1,MayDom1+32,MayDom1+39)</f>
        <v>43622</v>
      </c>
      <c r="G9" s="10">
        <f>IF(DAY(MayDom1)=1,MayDom1+33,MayDom1+40)</f>
        <v>43623</v>
      </c>
      <c r="H9" s="10">
        <f>IF(DAY(MayDom1)=1,MayDom1+34,MayDom1+41)</f>
        <v>43624</v>
      </c>
      <c r="I9" s="10">
        <f>IF(DAY(MayDom1)=1,MayDom1+35,MayDom1+42)</f>
        <v>43625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VLOOKUP(DAY(C4),DíasDeTareas,1,FALSE)=DAY(C4)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30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IF(DAY(JunDom1)=1,JunDom1-6,JunDom1+1)</f>
        <v>43612</v>
      </c>
      <c r="D4" s="10">
        <f>IF(DAY(JunDom1)=1,JunDom1-5,JunDom1+2)</f>
        <v>43613</v>
      </c>
      <c r="E4" s="10">
        <f>IF(DAY(JunDom1)=1,JunDom1-4,JunDom1+3)</f>
        <v>43614</v>
      </c>
      <c r="F4" s="10">
        <f>IF(DAY(JunDom1)=1,JunDom1-3,JunDom1+4)</f>
        <v>43615</v>
      </c>
      <c r="G4" s="10">
        <f>IF(DAY(JunDom1)=1,JunDom1-2,JunDom1+5)</f>
        <v>43616</v>
      </c>
      <c r="H4" s="10">
        <f>IF(DAY(JunDom1)=1,JunDom1-1,JunDom1+6)</f>
        <v>43617</v>
      </c>
      <c r="I4" s="10">
        <f>IF(DAY(JunDom1)=1,JunDom1,JunDom1+7)</f>
        <v>43618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IF(DAY(JunDom1)=1,JunDom1+1,JunDom1+8)</f>
        <v>43619</v>
      </c>
      <c r="D5" s="10">
        <f>IF(DAY(JunDom1)=1,JunDom1+2,JunDom1+9)</f>
        <v>43620</v>
      </c>
      <c r="E5" s="10">
        <f>IF(DAY(JunDom1)=1,JunDom1+3,JunDom1+10)</f>
        <v>43621</v>
      </c>
      <c r="F5" s="10">
        <f>IF(DAY(JunDom1)=1,JunDom1+4,JunDom1+11)</f>
        <v>43622</v>
      </c>
      <c r="G5" s="10">
        <f>IF(DAY(JunDom1)=1,JunDom1+5,JunDom1+12)</f>
        <v>43623</v>
      </c>
      <c r="H5" s="10">
        <f>IF(DAY(JunDom1)=1,JunDom1+6,JunDom1+13)</f>
        <v>43624</v>
      </c>
      <c r="I5" s="10">
        <f>IF(DAY(JunDom1)=1,JunDom1+7,JunDom1+14)</f>
        <v>43625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IF(DAY(JunDom1)=1,JunDom1+8,JunDom1+15)</f>
        <v>43626</v>
      </c>
      <c r="D6" s="10">
        <f>IF(DAY(JunDom1)=1,JunDom1+9,JunDom1+16)</f>
        <v>43627</v>
      </c>
      <c r="E6" s="10">
        <f>IF(DAY(JunDom1)=1,JunDom1+10,JunDom1+17)</f>
        <v>43628</v>
      </c>
      <c r="F6" s="10">
        <f>IF(DAY(JunDom1)=1,JunDom1+11,JunDom1+18)</f>
        <v>43629</v>
      </c>
      <c r="G6" s="10">
        <f>IF(DAY(JunDom1)=1,JunDom1+12,JunDom1+19)</f>
        <v>43630</v>
      </c>
      <c r="H6" s="10">
        <f>IF(DAY(JunDom1)=1,JunDom1+13,JunDom1+20)</f>
        <v>43631</v>
      </c>
      <c r="I6" s="10">
        <f>IF(DAY(JunDom1)=1,JunDom1+14,JunDom1+21)</f>
        <v>43632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IF(DAY(JunDom1)=1,JunDom1+15,JunDom1+22)</f>
        <v>43633</v>
      </c>
      <c r="D7" s="10">
        <f>IF(DAY(JunDom1)=1,JunDom1+16,JunDom1+23)</f>
        <v>43634</v>
      </c>
      <c r="E7" s="10">
        <f>IF(DAY(JunDom1)=1,JunDom1+17,JunDom1+24)</f>
        <v>43635</v>
      </c>
      <c r="F7" s="10">
        <f>IF(DAY(JunDom1)=1,JunDom1+18,JunDom1+25)</f>
        <v>43636</v>
      </c>
      <c r="G7" s="10">
        <f>IF(DAY(JunDom1)=1,JunDom1+19,JunDom1+26)</f>
        <v>43637</v>
      </c>
      <c r="H7" s="10">
        <f>IF(DAY(JunDom1)=1,JunDom1+20,JunDom1+27)</f>
        <v>43638</v>
      </c>
      <c r="I7" s="10">
        <f>IF(DAY(JunDom1)=1,JunDom1+21,JunDom1+28)</f>
        <v>43639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IF(DAY(JunDom1)=1,JunDom1+22,JunDom1+29)</f>
        <v>43640</v>
      </c>
      <c r="D8" s="10">
        <f>IF(DAY(JunDom1)=1,JunDom1+23,JunDom1+30)</f>
        <v>43641</v>
      </c>
      <c r="E8" s="10">
        <f>IF(DAY(JunDom1)=1,JunDom1+24,JunDom1+31)</f>
        <v>43642</v>
      </c>
      <c r="F8" s="10">
        <f>IF(DAY(JunDom1)=1,JunDom1+25,JunDom1+32)</f>
        <v>43643</v>
      </c>
      <c r="G8" s="10">
        <f>IF(DAY(JunDom1)=1,JunDom1+26,JunDom1+33)</f>
        <v>43644</v>
      </c>
      <c r="H8" s="10">
        <f>IF(DAY(JunDom1)=1,JunDom1+27,JunDom1+34)</f>
        <v>43645</v>
      </c>
      <c r="I8" s="10">
        <f>IF(DAY(JunDom1)=1,JunDom1+28,JunDom1+35)</f>
        <v>43646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IF(DAY(JunDom1)=1,JunDom1+29,JunDom1+36)</f>
        <v>43647</v>
      </c>
      <c r="D9" s="10">
        <f>IF(DAY(JunDom1)=1,JunDom1+30,JunDom1+37)</f>
        <v>43648</v>
      </c>
      <c r="E9" s="10">
        <f>IF(DAY(JunDom1)=1,JunDom1+31,JunDom1+38)</f>
        <v>43649</v>
      </c>
      <c r="F9" s="10">
        <f>IF(DAY(JunDom1)=1,JunDom1+32,JunDom1+39)</f>
        <v>43650</v>
      </c>
      <c r="G9" s="10">
        <f>IF(DAY(JunDom1)=1,JunDom1+33,JunDom1+40)</f>
        <v>43651</v>
      </c>
      <c r="H9" s="10">
        <f>IF(DAY(JunDom1)=1,JunDom1+34,JunDom1+41)</f>
        <v>43652</v>
      </c>
      <c r="I9" s="10">
        <f>IF(DAY(JunDom1)=1,JunDom1+35,JunDom1+42)</f>
        <v>43653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VLOOKUP(DAY(C4),DíasDeTareas,1,FALSE)=DAY(C4)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C17" sqref="C17:D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29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IF(DAY(JulDom1)=1,JulDom1-6,JulDom1+1)</f>
        <v>43647</v>
      </c>
      <c r="D4" s="10">
        <f>IF(DAY(JulDom1)=1,JulDom1-5,JulDom1+2)</f>
        <v>43648</v>
      </c>
      <c r="E4" s="10">
        <f>IF(DAY(JulDom1)=1,JulDom1-4,JulDom1+3)</f>
        <v>43649</v>
      </c>
      <c r="F4" s="10">
        <f>IF(DAY(JulDom1)=1,JulDom1-3,JulDom1+4)</f>
        <v>43650</v>
      </c>
      <c r="G4" s="10">
        <f>IF(DAY(JulDom1)=1,JulDom1-2,JulDom1+5)</f>
        <v>43651</v>
      </c>
      <c r="H4" s="10">
        <f>IF(DAY(JulDom1)=1,JulDom1-1,JulDom1+6)</f>
        <v>43652</v>
      </c>
      <c r="I4" s="10">
        <f>IF(DAY(JulDom1)=1,JulDom1,JulDom1+7)</f>
        <v>43653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IF(DAY(JulDom1)=1,JulDom1+1,JulDom1+8)</f>
        <v>43654</v>
      </c>
      <c r="D5" s="10">
        <f>IF(DAY(JulDom1)=1,JulDom1+2,JulDom1+9)</f>
        <v>43655</v>
      </c>
      <c r="E5" s="10">
        <f>IF(DAY(JulDom1)=1,JulDom1+3,JulDom1+10)</f>
        <v>43656</v>
      </c>
      <c r="F5" s="10">
        <f>IF(DAY(JulDom1)=1,JulDom1+4,JulDom1+11)</f>
        <v>43657</v>
      </c>
      <c r="G5" s="10">
        <f>IF(DAY(JulDom1)=1,JulDom1+5,JulDom1+12)</f>
        <v>43658</v>
      </c>
      <c r="H5" s="10">
        <f>IF(DAY(JulDom1)=1,JulDom1+6,JulDom1+13)</f>
        <v>43659</v>
      </c>
      <c r="I5" s="10">
        <f>IF(DAY(JulDom1)=1,JulDom1+7,JulDom1+14)</f>
        <v>43660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IF(DAY(JulDom1)=1,JulDom1+8,JulDom1+15)</f>
        <v>43661</v>
      </c>
      <c r="D6" s="10">
        <f>IF(DAY(JulDom1)=1,JulDom1+9,JulDom1+16)</f>
        <v>43662</v>
      </c>
      <c r="E6" s="10">
        <f>IF(DAY(JulDom1)=1,JulDom1+10,JulDom1+17)</f>
        <v>43663</v>
      </c>
      <c r="F6" s="10">
        <f>IF(DAY(JulDom1)=1,JulDom1+11,JulDom1+18)</f>
        <v>43664</v>
      </c>
      <c r="G6" s="10">
        <f>IF(DAY(JulDom1)=1,JulDom1+12,JulDom1+19)</f>
        <v>43665</v>
      </c>
      <c r="H6" s="10">
        <f>IF(DAY(JulDom1)=1,JulDom1+13,JulDom1+20)</f>
        <v>43666</v>
      </c>
      <c r="I6" s="10">
        <f>IF(DAY(JulDom1)=1,JulDom1+14,JulDom1+21)</f>
        <v>43667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IF(DAY(JulDom1)=1,JulDom1+15,JulDom1+22)</f>
        <v>43668</v>
      </c>
      <c r="D7" s="10">
        <f>IF(DAY(JulDom1)=1,JulDom1+16,JulDom1+23)</f>
        <v>43669</v>
      </c>
      <c r="E7" s="10">
        <f>IF(DAY(JulDom1)=1,JulDom1+17,JulDom1+24)</f>
        <v>43670</v>
      </c>
      <c r="F7" s="10">
        <f>IF(DAY(JulDom1)=1,JulDom1+18,JulDom1+25)</f>
        <v>43671</v>
      </c>
      <c r="G7" s="10">
        <f>IF(DAY(JulDom1)=1,JulDom1+19,JulDom1+26)</f>
        <v>43672</v>
      </c>
      <c r="H7" s="10">
        <f>IF(DAY(JulDom1)=1,JulDom1+20,JulDom1+27)</f>
        <v>43673</v>
      </c>
      <c r="I7" s="10">
        <f>IF(DAY(JulDom1)=1,JulDom1+21,JulDom1+28)</f>
        <v>43674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IF(DAY(JulDom1)=1,JulDom1+22,JulDom1+29)</f>
        <v>43675</v>
      </c>
      <c r="D8" s="10">
        <f>IF(DAY(JulDom1)=1,JulDom1+23,JulDom1+30)</f>
        <v>43676</v>
      </c>
      <c r="E8" s="10">
        <f>IF(DAY(JulDom1)=1,JulDom1+24,JulDom1+31)</f>
        <v>43677</v>
      </c>
      <c r="F8" s="10">
        <f>IF(DAY(JulDom1)=1,JulDom1+25,JulDom1+32)</f>
        <v>43678</v>
      </c>
      <c r="G8" s="10">
        <f>IF(DAY(JulDom1)=1,JulDom1+26,JulDom1+33)</f>
        <v>43679</v>
      </c>
      <c r="H8" s="10">
        <f>IF(DAY(JulDom1)=1,JulDom1+27,JulDom1+34)</f>
        <v>43680</v>
      </c>
      <c r="I8" s="10">
        <f>IF(DAY(JulDom1)=1,JulDom1+28,JulDom1+35)</f>
        <v>43681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IF(DAY(JulDom1)=1,JulDom1+29,JulDom1+36)</f>
        <v>43682</v>
      </c>
      <c r="D9" s="10">
        <f>IF(DAY(JulDom1)=1,JulDom1+30,JulDom1+37)</f>
        <v>43683</v>
      </c>
      <c r="E9" s="10">
        <f>IF(DAY(JulDom1)=1,JulDom1+31,JulDom1+38)</f>
        <v>43684</v>
      </c>
      <c r="F9" s="10">
        <f>IF(DAY(JulDom1)=1,JulDom1+32,JulDom1+39)</f>
        <v>43685</v>
      </c>
      <c r="G9" s="10">
        <f>IF(DAY(JulDom1)=1,JulDom1+33,JulDom1+40)</f>
        <v>43686</v>
      </c>
      <c r="H9" s="10">
        <f>IF(DAY(JulDom1)=1,JulDom1+34,JulDom1+41)</f>
        <v>43687</v>
      </c>
      <c r="I9" s="10">
        <f>IF(DAY(JulDom1)=1,JulDom1+35,JulDom1+42)</f>
        <v>43688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VLOOKUP(DAY(C4),DíasDeTareas,1,FALSE)=DAY(C4)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G17" sqref="G17:H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>
      <c r="A1" s="2"/>
      <c r="B1" s="2"/>
      <c r="C1" s="2"/>
      <c r="D1" s="2"/>
      <c r="E1" s="2"/>
      <c r="F1" s="2"/>
      <c r="G1" s="2"/>
    </row>
    <row r="2" spans="1:14" ht="18" customHeight="1" x14ac:dyDescent="0.2">
      <c r="A2" s="4"/>
      <c r="B2" s="70" t="s">
        <v>28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IF(DAY(AgoDom1)=1,AgoDom1-6,AgoDom1+1)</f>
        <v>43675</v>
      </c>
      <c r="D4" s="10">
        <f>IF(DAY(AgoDom1)=1,AgoDom1-5,AgoDom1+2)</f>
        <v>43676</v>
      </c>
      <c r="E4" s="10">
        <f>IF(DAY(AgoDom1)=1,AgoDom1-4,AgoDom1+3)</f>
        <v>43677</v>
      </c>
      <c r="F4" s="10">
        <f>IF(DAY(AgoDom1)=1,AgoDom1-3,AgoDom1+4)</f>
        <v>43678</v>
      </c>
      <c r="G4" s="10">
        <f>IF(DAY(AgoDom1)=1,AgoDom1-2,AgoDom1+5)</f>
        <v>43679</v>
      </c>
      <c r="H4" s="10">
        <f>IF(DAY(AgoDom1)=1,AgoDom1-1,AgoDom1+6)</f>
        <v>43680</v>
      </c>
      <c r="I4" s="10">
        <f>IF(DAY(AgoDom1)=1,AgoDom1,AgoDom1+7)</f>
        <v>43681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IF(DAY(AgoDom1)=1,AgoDom1+1,AgoDom1+8)</f>
        <v>43682</v>
      </c>
      <c r="D5" s="10">
        <f>IF(DAY(AgoDom1)=1,AgoDom1+2,AgoDom1+9)</f>
        <v>43683</v>
      </c>
      <c r="E5" s="10">
        <f>IF(DAY(AgoDom1)=1,AgoDom1+3,AgoDom1+10)</f>
        <v>43684</v>
      </c>
      <c r="F5" s="10">
        <f>IF(DAY(AgoDom1)=1,AgoDom1+4,AgoDom1+11)</f>
        <v>43685</v>
      </c>
      <c r="G5" s="10">
        <f>IF(DAY(AgoDom1)=1,AgoDom1+5,AgoDom1+12)</f>
        <v>43686</v>
      </c>
      <c r="H5" s="10">
        <f>IF(DAY(AgoDom1)=1,AgoDom1+6,AgoDom1+13)</f>
        <v>43687</v>
      </c>
      <c r="I5" s="10">
        <f>IF(DAY(AgoDom1)=1,AgoDom1+7,AgoDom1+14)</f>
        <v>43688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IF(DAY(AgoDom1)=1,AgoDom1+8,AgoDom1+15)</f>
        <v>43689</v>
      </c>
      <c r="D6" s="10">
        <f>IF(DAY(AgoDom1)=1,AgoDom1+9,AgoDom1+16)</f>
        <v>43690</v>
      </c>
      <c r="E6" s="10">
        <f>IF(DAY(AgoDom1)=1,AgoDom1+10,AgoDom1+17)</f>
        <v>43691</v>
      </c>
      <c r="F6" s="10">
        <f>IF(DAY(AgoDom1)=1,AgoDom1+11,AgoDom1+18)</f>
        <v>43692</v>
      </c>
      <c r="G6" s="10">
        <f>IF(DAY(AgoDom1)=1,AgoDom1+12,AgoDom1+19)</f>
        <v>43693</v>
      </c>
      <c r="H6" s="10">
        <f>IF(DAY(AgoDom1)=1,AgoDom1+13,AgoDom1+20)</f>
        <v>43694</v>
      </c>
      <c r="I6" s="10">
        <f>IF(DAY(AgoDom1)=1,AgoDom1+14,AgoDom1+21)</f>
        <v>43695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IF(DAY(AgoDom1)=1,AgoDom1+15,AgoDom1+22)</f>
        <v>43696</v>
      </c>
      <c r="D7" s="10">
        <f>IF(DAY(AgoDom1)=1,AgoDom1+16,AgoDom1+23)</f>
        <v>43697</v>
      </c>
      <c r="E7" s="10">
        <f>IF(DAY(AgoDom1)=1,AgoDom1+17,AgoDom1+24)</f>
        <v>43698</v>
      </c>
      <c r="F7" s="10">
        <f>IF(DAY(AgoDom1)=1,AgoDom1+18,AgoDom1+25)</f>
        <v>43699</v>
      </c>
      <c r="G7" s="10">
        <f>IF(DAY(AgoDom1)=1,AgoDom1+19,AgoDom1+26)</f>
        <v>43700</v>
      </c>
      <c r="H7" s="10">
        <f>IF(DAY(AgoDom1)=1,AgoDom1+20,AgoDom1+27)</f>
        <v>43701</v>
      </c>
      <c r="I7" s="10">
        <f>IF(DAY(AgoDom1)=1,AgoDom1+21,AgoDom1+28)</f>
        <v>43702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IF(DAY(AgoDom1)=1,AgoDom1+22,AgoDom1+29)</f>
        <v>43703</v>
      </c>
      <c r="D8" s="10">
        <f>IF(DAY(AgoDom1)=1,AgoDom1+23,AgoDom1+30)</f>
        <v>43704</v>
      </c>
      <c r="E8" s="10">
        <f>IF(DAY(AgoDom1)=1,AgoDom1+24,AgoDom1+31)</f>
        <v>43705</v>
      </c>
      <c r="F8" s="10">
        <f>IF(DAY(AgoDom1)=1,AgoDom1+25,AgoDom1+32)</f>
        <v>43706</v>
      </c>
      <c r="G8" s="10">
        <f>IF(DAY(AgoDom1)=1,AgoDom1+26,AgoDom1+33)</f>
        <v>43707</v>
      </c>
      <c r="H8" s="10">
        <f>IF(DAY(AgoDom1)=1,AgoDom1+27,AgoDom1+34)</f>
        <v>43708</v>
      </c>
      <c r="I8" s="10">
        <f>IF(DAY(AgoDom1)=1,AgoDom1+28,AgoDom1+35)</f>
        <v>43709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IF(DAY(AgoDom1)=1,AgoDom1+29,AgoDom1+36)</f>
        <v>43710</v>
      </c>
      <c r="D9" s="10">
        <f>IF(DAY(AgoDom1)=1,AgoDom1+30,AgoDom1+37)</f>
        <v>43711</v>
      </c>
      <c r="E9" s="10">
        <f>IF(DAY(AgoDom1)=1,AgoDom1+31,AgoDom1+38)</f>
        <v>43712</v>
      </c>
      <c r="F9" s="10">
        <f>IF(DAY(AgoDom1)=1,AgoDom1+32,AgoDom1+39)</f>
        <v>43713</v>
      </c>
      <c r="G9" s="10">
        <f>IF(DAY(AgoDom1)=1,AgoDom1+33,AgoDom1+40)</f>
        <v>43714</v>
      </c>
      <c r="H9" s="10">
        <f>IF(DAY(AgoDom1)=1,AgoDom1+34,AgoDom1+41)</f>
        <v>43715</v>
      </c>
      <c r="I9" s="10">
        <f>IF(DAY(AgoDom1)=1,AgoDom1+35,AgoDom1+42)</f>
        <v>43716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VLOOKUP(DAY(C4),DíasDeTareas,1,FALSE)=DAY(C4)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AO33"/>
  <sheetViews>
    <sheetView showGridLines="0" topLeftCell="A15" zoomScaleNormal="100" zoomScalePageLayoutView="84" workbookViewId="0">
      <selection activeCell="C17" sqref="C17:D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70" t="s">
        <v>27</v>
      </c>
      <c r="C2" s="21"/>
      <c r="D2" s="21"/>
      <c r="E2" s="21"/>
      <c r="F2" s="21"/>
      <c r="G2" s="21"/>
      <c r="H2" s="21"/>
      <c r="I2" s="21"/>
      <c r="J2" s="22"/>
      <c r="K2" s="56" t="s">
        <v>7</v>
      </c>
      <c r="L2" s="57">
        <v>2013</v>
      </c>
      <c r="M2" s="57"/>
      <c r="N2" s="25"/>
    </row>
    <row r="3" spans="1:14" ht="21" customHeight="1" x14ac:dyDescent="0.2">
      <c r="A3" s="4"/>
      <c r="B3" s="71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58"/>
      <c r="L3" s="59"/>
      <c r="M3" s="59"/>
      <c r="N3" s="26"/>
    </row>
    <row r="4" spans="1:14" ht="18" customHeight="1" x14ac:dyDescent="0.2">
      <c r="A4" s="4"/>
      <c r="B4" s="71"/>
      <c r="C4" s="10">
        <f>IF(DAY(SepDom1)=1,SepDom1-6,SepDom1+1)</f>
        <v>43703</v>
      </c>
      <c r="D4" s="10">
        <f>IF(DAY(SepDom1)=1,SepDom1-5,SepDom1+2)</f>
        <v>43704</v>
      </c>
      <c r="E4" s="10">
        <f>IF(DAY(SepDom1)=1,SepDom1-4,SepDom1+3)</f>
        <v>43705</v>
      </c>
      <c r="F4" s="10">
        <f>IF(DAY(SepDom1)=1,SepDom1-3,SepDom1+4)</f>
        <v>43706</v>
      </c>
      <c r="G4" s="10">
        <f>IF(DAY(SepDom1)=1,SepDom1-2,SepDom1+5)</f>
        <v>43707</v>
      </c>
      <c r="H4" s="10">
        <f>IF(DAY(SepDom1)=1,SepDom1-1,SepDom1+6)</f>
        <v>43708</v>
      </c>
      <c r="I4" s="10">
        <f>IF(DAY(SepDom1)=1,SepDom1,SepDom1+7)</f>
        <v>43709</v>
      </c>
      <c r="J4" s="5"/>
      <c r="K4" s="60" t="s">
        <v>16</v>
      </c>
      <c r="L4" s="16"/>
      <c r="M4" s="61"/>
      <c r="N4" s="62"/>
    </row>
    <row r="5" spans="1:14" ht="18" customHeight="1" x14ac:dyDescent="0.2">
      <c r="A5" s="4"/>
      <c r="B5" s="71"/>
      <c r="C5" s="10">
        <f>IF(DAY(SepDom1)=1,SepDom1+1,SepDom1+8)</f>
        <v>43710</v>
      </c>
      <c r="D5" s="10">
        <f>IF(DAY(SepDom1)=1,SepDom1+2,SepDom1+9)</f>
        <v>43711</v>
      </c>
      <c r="E5" s="10">
        <f>IF(DAY(SepDom1)=1,SepDom1+3,SepDom1+10)</f>
        <v>43712</v>
      </c>
      <c r="F5" s="10">
        <f>IF(DAY(SepDom1)=1,SepDom1+4,SepDom1+11)</f>
        <v>43713</v>
      </c>
      <c r="G5" s="10">
        <f>IF(DAY(SepDom1)=1,SepDom1+5,SepDom1+12)</f>
        <v>43714</v>
      </c>
      <c r="H5" s="10">
        <f>IF(DAY(SepDom1)=1,SepDom1+6,SepDom1+13)</f>
        <v>43715</v>
      </c>
      <c r="I5" s="10">
        <f>IF(DAY(SepDom1)=1,SepDom1+7,SepDom1+14)</f>
        <v>43716</v>
      </c>
      <c r="J5" s="5"/>
      <c r="K5" s="44"/>
      <c r="L5" s="17"/>
      <c r="M5" s="39"/>
      <c r="N5" s="40"/>
    </row>
    <row r="6" spans="1:14" ht="18" customHeight="1" x14ac:dyDescent="0.2">
      <c r="A6" s="4"/>
      <c r="B6" s="71"/>
      <c r="C6" s="10">
        <f>IF(DAY(SepDom1)=1,SepDom1+8,SepDom1+15)</f>
        <v>43717</v>
      </c>
      <c r="D6" s="10">
        <f>IF(DAY(SepDom1)=1,SepDom1+9,SepDom1+16)</f>
        <v>43718</v>
      </c>
      <c r="E6" s="10">
        <f>IF(DAY(SepDom1)=1,SepDom1+10,SepDom1+17)</f>
        <v>43719</v>
      </c>
      <c r="F6" s="10">
        <f>IF(DAY(SepDom1)=1,SepDom1+11,SepDom1+18)</f>
        <v>43720</v>
      </c>
      <c r="G6" s="10">
        <f>IF(DAY(SepDom1)=1,SepDom1+12,SepDom1+19)</f>
        <v>43721</v>
      </c>
      <c r="H6" s="10">
        <f>IF(DAY(SepDom1)=1,SepDom1+13,SepDom1+20)</f>
        <v>43722</v>
      </c>
      <c r="I6" s="10">
        <f>IF(DAY(SepDom1)=1,SepDom1+14,SepDom1+21)</f>
        <v>43723</v>
      </c>
      <c r="J6" s="5"/>
      <c r="K6" s="44"/>
      <c r="L6" s="17"/>
      <c r="M6" s="39"/>
      <c r="N6" s="40"/>
    </row>
    <row r="7" spans="1:14" ht="18" customHeight="1" x14ac:dyDescent="0.2">
      <c r="A7" s="4"/>
      <c r="B7" s="71"/>
      <c r="C7" s="10">
        <f>IF(DAY(SepDom1)=1,SepDom1+15,SepDom1+22)</f>
        <v>43724</v>
      </c>
      <c r="D7" s="10">
        <f>IF(DAY(SepDom1)=1,SepDom1+16,SepDom1+23)</f>
        <v>43725</v>
      </c>
      <c r="E7" s="10">
        <f>IF(DAY(SepDom1)=1,SepDom1+17,SepDom1+24)</f>
        <v>43726</v>
      </c>
      <c r="F7" s="10">
        <f>IF(DAY(SepDom1)=1,SepDom1+18,SepDom1+25)</f>
        <v>43727</v>
      </c>
      <c r="G7" s="10">
        <f>IF(DAY(SepDom1)=1,SepDom1+19,SepDom1+26)</f>
        <v>43728</v>
      </c>
      <c r="H7" s="10">
        <f>IF(DAY(SepDom1)=1,SepDom1+20,SepDom1+27)</f>
        <v>43729</v>
      </c>
      <c r="I7" s="10">
        <f>IF(DAY(SepDom1)=1,SepDom1+21,SepDom1+28)</f>
        <v>43730</v>
      </c>
      <c r="J7" s="5"/>
      <c r="K7" s="11"/>
      <c r="L7" s="17"/>
      <c r="M7" s="39"/>
      <c r="N7" s="40"/>
    </row>
    <row r="8" spans="1:14" ht="18.75" customHeight="1" x14ac:dyDescent="0.2">
      <c r="A8" s="4"/>
      <c r="B8" s="71"/>
      <c r="C8" s="10">
        <f>IF(DAY(SepDom1)=1,SepDom1+22,SepDom1+29)</f>
        <v>43731</v>
      </c>
      <c r="D8" s="10">
        <f>IF(DAY(SepDom1)=1,SepDom1+23,SepDom1+30)</f>
        <v>43732</v>
      </c>
      <c r="E8" s="10">
        <f>IF(DAY(SepDom1)=1,SepDom1+24,SepDom1+31)</f>
        <v>43733</v>
      </c>
      <c r="F8" s="10">
        <f>IF(DAY(SepDom1)=1,SepDom1+25,SepDom1+32)</f>
        <v>43734</v>
      </c>
      <c r="G8" s="10">
        <f>IF(DAY(SepDom1)=1,SepDom1+26,SepDom1+33)</f>
        <v>43735</v>
      </c>
      <c r="H8" s="10">
        <f>IF(DAY(SepDom1)=1,SepDom1+27,SepDom1+34)</f>
        <v>43736</v>
      </c>
      <c r="I8" s="10">
        <f>IF(DAY(SepDom1)=1,SepDom1+28,SepDom1+35)</f>
        <v>43737</v>
      </c>
      <c r="J8" s="5"/>
      <c r="K8" s="11"/>
      <c r="L8" s="17"/>
      <c r="M8" s="39"/>
      <c r="N8" s="40"/>
    </row>
    <row r="9" spans="1:14" ht="18" customHeight="1" x14ac:dyDescent="0.2">
      <c r="A9" s="4"/>
      <c r="B9" s="71"/>
      <c r="C9" s="10">
        <f>IF(DAY(SepDom1)=1,SepDom1+29,SepDom1+36)</f>
        <v>43738</v>
      </c>
      <c r="D9" s="10">
        <f>IF(DAY(SepDom1)=1,SepDom1+30,SepDom1+37)</f>
        <v>43739</v>
      </c>
      <c r="E9" s="10">
        <f>IF(DAY(SepDom1)=1,SepDom1+31,SepDom1+38)</f>
        <v>43740</v>
      </c>
      <c r="F9" s="10">
        <f>IF(DAY(SepDom1)=1,SepDom1+32,SepDom1+39)</f>
        <v>43741</v>
      </c>
      <c r="G9" s="10">
        <f>IF(DAY(SepDom1)=1,SepDom1+33,SepDom1+40)</f>
        <v>43742</v>
      </c>
      <c r="H9" s="10">
        <f>IF(DAY(SepDom1)=1,SepDom1+34,SepDom1+41)</f>
        <v>43743</v>
      </c>
      <c r="I9" s="10">
        <f>IF(DAY(SepDom1)=1,SepDom1+35,SepDom1+42)</f>
        <v>43744</v>
      </c>
      <c r="J9" s="5"/>
      <c r="K9" s="12"/>
      <c r="L9" s="18"/>
      <c r="M9" s="49"/>
      <c r="N9" s="50"/>
    </row>
    <row r="10" spans="1:14" ht="18" customHeight="1" x14ac:dyDescent="0.2">
      <c r="A10" s="4"/>
      <c r="B10" s="72"/>
      <c r="C10" s="23"/>
      <c r="D10" s="23"/>
      <c r="E10" s="23"/>
      <c r="F10" s="23"/>
      <c r="G10" s="23"/>
      <c r="H10" s="23"/>
      <c r="I10" s="23"/>
      <c r="J10" s="24"/>
      <c r="K10" s="43" t="s">
        <v>17</v>
      </c>
      <c r="L10" s="16"/>
      <c r="M10" s="45"/>
      <c r="N10" s="46"/>
    </row>
    <row r="11" spans="1:14" ht="18" customHeight="1" x14ac:dyDescent="0.2">
      <c r="A11" s="4"/>
      <c r="B11" s="73" t="s">
        <v>15</v>
      </c>
      <c r="C11" s="74"/>
      <c r="D11" s="74"/>
      <c r="E11" s="74"/>
      <c r="F11" s="74"/>
      <c r="G11" s="74"/>
      <c r="H11" s="74"/>
      <c r="I11" s="74"/>
      <c r="J11" s="75"/>
      <c r="K11" s="44"/>
      <c r="L11" s="17"/>
      <c r="M11" s="39"/>
      <c r="N11" s="40"/>
    </row>
    <row r="12" spans="1:14" ht="18" customHeight="1" x14ac:dyDescent="0.2">
      <c r="A12" s="4"/>
      <c r="B12" s="73"/>
      <c r="C12" s="74"/>
      <c r="D12" s="74"/>
      <c r="E12" s="74"/>
      <c r="F12" s="74"/>
      <c r="G12" s="74"/>
      <c r="H12" s="74"/>
      <c r="I12" s="74"/>
      <c r="J12" s="75"/>
      <c r="K12" s="44"/>
      <c r="L12" s="17"/>
      <c r="M12" s="39"/>
      <c r="N12" s="40"/>
    </row>
    <row r="13" spans="1:14" ht="18" customHeight="1" x14ac:dyDescent="0.2">
      <c r="B13" s="3" t="s">
        <v>16</v>
      </c>
      <c r="C13" s="53" t="s">
        <v>17</v>
      </c>
      <c r="D13" s="55"/>
      <c r="E13" s="53" t="s">
        <v>18</v>
      </c>
      <c r="F13" s="55"/>
      <c r="G13" s="53" t="s">
        <v>19</v>
      </c>
      <c r="H13" s="55"/>
      <c r="I13" s="53" t="s">
        <v>20</v>
      </c>
      <c r="J13" s="54"/>
      <c r="K13" s="11"/>
      <c r="L13" s="17"/>
      <c r="M13" s="39"/>
      <c r="N13" s="40"/>
    </row>
    <row r="14" spans="1:14" ht="18" customHeight="1" x14ac:dyDescent="0.2">
      <c r="B14" s="8" t="s">
        <v>2</v>
      </c>
      <c r="C14" s="77"/>
      <c r="D14" s="78"/>
      <c r="E14" s="77" t="s">
        <v>2</v>
      </c>
      <c r="F14" s="78"/>
      <c r="G14" s="77"/>
      <c r="H14" s="78"/>
      <c r="I14" s="77" t="s">
        <v>2</v>
      </c>
      <c r="J14" s="79"/>
      <c r="K14" s="11"/>
      <c r="L14" s="17"/>
      <c r="M14" s="39"/>
      <c r="N14" s="40"/>
    </row>
    <row r="15" spans="1:14" ht="18" customHeight="1" x14ac:dyDescent="0.2">
      <c r="B15" s="6" t="s">
        <v>21</v>
      </c>
      <c r="C15" s="80"/>
      <c r="D15" s="81"/>
      <c r="E15" s="80" t="s">
        <v>21</v>
      </c>
      <c r="F15" s="81"/>
      <c r="G15" s="80"/>
      <c r="H15" s="81"/>
      <c r="I15" s="82" t="s">
        <v>21</v>
      </c>
      <c r="J15" s="83"/>
      <c r="K15" s="13"/>
      <c r="L15" s="19"/>
      <c r="M15" s="49"/>
      <c r="N15" s="50"/>
    </row>
    <row r="16" spans="1:14" ht="18" customHeight="1" x14ac:dyDescent="0.2">
      <c r="B16" s="8"/>
      <c r="C16" s="77" t="s">
        <v>3</v>
      </c>
      <c r="D16" s="78"/>
      <c r="E16" s="77"/>
      <c r="F16" s="78"/>
      <c r="G16" s="77" t="s">
        <v>3</v>
      </c>
      <c r="H16" s="78"/>
      <c r="I16" s="87"/>
      <c r="J16" s="88"/>
      <c r="K16" s="89" t="s">
        <v>18</v>
      </c>
      <c r="L16" s="16"/>
      <c r="M16" s="45"/>
      <c r="N16" s="46"/>
    </row>
    <row r="17" spans="2:14" ht="18" customHeight="1" x14ac:dyDescent="0.2">
      <c r="B17" s="6"/>
      <c r="C17" s="80" t="s">
        <v>42</v>
      </c>
      <c r="D17" s="81"/>
      <c r="E17" s="80"/>
      <c r="F17" s="81"/>
      <c r="G17" s="80" t="s">
        <v>42</v>
      </c>
      <c r="H17" s="81"/>
      <c r="I17" s="82"/>
      <c r="J17" s="83"/>
      <c r="K17" s="90"/>
      <c r="L17" s="17"/>
      <c r="M17" s="39"/>
      <c r="N17" s="40"/>
    </row>
    <row r="18" spans="2:14" ht="18" customHeight="1" x14ac:dyDescent="0.2">
      <c r="B18" s="9" t="s">
        <v>5</v>
      </c>
      <c r="C18" s="84"/>
      <c r="D18" s="85"/>
      <c r="E18" s="84" t="s">
        <v>5</v>
      </c>
      <c r="F18" s="85"/>
      <c r="G18" s="84"/>
      <c r="H18" s="85"/>
      <c r="I18" s="84" t="s">
        <v>5</v>
      </c>
      <c r="J18" s="86"/>
      <c r="K18" s="90"/>
      <c r="L18" s="17"/>
      <c r="M18" s="39"/>
      <c r="N18" s="40"/>
    </row>
    <row r="19" spans="2:14" ht="18" customHeight="1" x14ac:dyDescent="0.2">
      <c r="B19" s="6" t="s">
        <v>22</v>
      </c>
      <c r="C19" s="80"/>
      <c r="D19" s="81"/>
      <c r="E19" s="80" t="s">
        <v>22</v>
      </c>
      <c r="F19" s="81"/>
      <c r="G19" s="80"/>
      <c r="H19" s="81"/>
      <c r="I19" s="82" t="s">
        <v>22</v>
      </c>
      <c r="J19" s="83"/>
      <c r="K19" s="11"/>
      <c r="L19" s="17"/>
      <c r="M19" s="39"/>
      <c r="N19" s="40"/>
    </row>
    <row r="20" spans="2:14" ht="18" customHeight="1" x14ac:dyDescent="0.2">
      <c r="B20" s="8"/>
      <c r="C20" s="77"/>
      <c r="D20" s="78"/>
      <c r="E20" s="77"/>
      <c r="F20" s="78"/>
      <c r="G20" s="77"/>
      <c r="H20" s="78"/>
      <c r="I20" s="77"/>
      <c r="J20" s="79"/>
      <c r="K20" s="11"/>
      <c r="L20" s="17"/>
      <c r="M20" s="39"/>
      <c r="N20" s="40"/>
    </row>
    <row r="21" spans="2:14" ht="18" customHeight="1" x14ac:dyDescent="0.2">
      <c r="B21" s="6"/>
      <c r="C21" s="80"/>
      <c r="D21" s="81"/>
      <c r="E21" s="80"/>
      <c r="F21" s="81"/>
      <c r="G21" s="80"/>
      <c r="H21" s="81"/>
      <c r="I21" s="91"/>
      <c r="J21" s="92"/>
      <c r="K21" s="13"/>
      <c r="L21" s="19"/>
      <c r="M21" s="49"/>
      <c r="N21" s="50"/>
    </row>
    <row r="22" spans="2:14" ht="18" customHeight="1" x14ac:dyDescent="0.2">
      <c r="B22" s="8"/>
      <c r="C22" s="77"/>
      <c r="D22" s="78"/>
      <c r="E22" s="77"/>
      <c r="F22" s="78"/>
      <c r="G22" s="77"/>
      <c r="H22" s="78"/>
      <c r="I22" s="77"/>
      <c r="J22" s="79"/>
      <c r="K22" s="89" t="s">
        <v>19</v>
      </c>
      <c r="L22" s="16"/>
      <c r="M22" s="45"/>
      <c r="N22" s="46"/>
    </row>
    <row r="23" spans="2:14" ht="18" customHeight="1" x14ac:dyDescent="0.2">
      <c r="B23" s="6"/>
      <c r="C23" s="80"/>
      <c r="D23" s="81"/>
      <c r="E23" s="80"/>
      <c r="F23" s="81"/>
      <c r="G23" s="80"/>
      <c r="H23" s="81"/>
      <c r="I23" s="82"/>
      <c r="J23" s="83"/>
      <c r="K23" s="90"/>
      <c r="L23" s="17"/>
      <c r="M23" s="39"/>
      <c r="N23" s="40"/>
    </row>
    <row r="24" spans="2:14" ht="18" customHeight="1" x14ac:dyDescent="0.2">
      <c r="B24" s="8"/>
      <c r="C24" s="77"/>
      <c r="D24" s="78"/>
      <c r="E24" s="77"/>
      <c r="F24" s="78"/>
      <c r="G24" s="77"/>
      <c r="H24" s="78"/>
      <c r="I24" s="77"/>
      <c r="J24" s="79"/>
      <c r="K24" s="90"/>
      <c r="L24" s="17"/>
      <c r="M24" s="39"/>
      <c r="N24" s="40"/>
    </row>
    <row r="25" spans="2:14" ht="18" customHeight="1" x14ac:dyDescent="0.2">
      <c r="B25" s="6"/>
      <c r="C25" s="80"/>
      <c r="D25" s="81"/>
      <c r="E25" s="80"/>
      <c r="F25" s="81"/>
      <c r="G25" s="80"/>
      <c r="H25" s="81"/>
      <c r="I25" s="82"/>
      <c r="J25" s="83"/>
      <c r="K25" s="90"/>
      <c r="L25" s="17"/>
      <c r="M25" s="39"/>
      <c r="N25" s="40"/>
    </row>
    <row r="26" spans="2:14" ht="18" customHeight="1" x14ac:dyDescent="0.2">
      <c r="B26" s="8" t="s">
        <v>4</v>
      </c>
      <c r="C26" s="77"/>
      <c r="D26" s="78"/>
      <c r="E26" s="77" t="s">
        <v>4</v>
      </c>
      <c r="F26" s="78"/>
      <c r="G26" s="77"/>
      <c r="H26" s="78"/>
      <c r="I26" s="77" t="s">
        <v>4</v>
      </c>
      <c r="J26" s="79"/>
      <c r="K26" s="11"/>
      <c r="L26" s="17"/>
      <c r="M26" s="39"/>
      <c r="N26" s="40"/>
    </row>
    <row r="27" spans="2:14" ht="18" customHeight="1" x14ac:dyDescent="0.2">
      <c r="B27" s="6" t="s">
        <v>23</v>
      </c>
      <c r="C27" s="80"/>
      <c r="D27" s="81"/>
      <c r="E27" s="80" t="s">
        <v>23</v>
      </c>
      <c r="F27" s="81"/>
      <c r="G27" s="80"/>
      <c r="H27" s="81"/>
      <c r="I27" s="82" t="s">
        <v>23</v>
      </c>
      <c r="J27" s="83"/>
      <c r="K27" s="13"/>
      <c r="L27" s="19"/>
      <c r="M27" s="49"/>
      <c r="N27" s="50"/>
    </row>
    <row r="28" spans="2:14" ht="18" customHeight="1" x14ac:dyDescent="0.2">
      <c r="B28" s="8"/>
      <c r="C28" s="77"/>
      <c r="D28" s="78"/>
      <c r="E28" s="77"/>
      <c r="F28" s="78"/>
      <c r="G28" s="77"/>
      <c r="H28" s="78"/>
      <c r="I28" s="77"/>
      <c r="J28" s="79"/>
      <c r="K28" s="43" t="s">
        <v>20</v>
      </c>
      <c r="L28" s="16"/>
      <c r="M28" s="45"/>
      <c r="N28" s="46"/>
    </row>
    <row r="29" spans="2:14" ht="18" customHeight="1" x14ac:dyDescent="0.2">
      <c r="B29" s="6"/>
      <c r="C29" s="80"/>
      <c r="D29" s="81"/>
      <c r="E29" s="80"/>
      <c r="F29" s="81"/>
      <c r="G29" s="80"/>
      <c r="H29" s="81"/>
      <c r="I29" s="80"/>
      <c r="J29" s="95"/>
      <c r="K29" s="44"/>
      <c r="L29" s="17"/>
      <c r="M29" s="39"/>
      <c r="N29" s="40"/>
    </row>
    <row r="30" spans="2:14" ht="18" customHeight="1" x14ac:dyDescent="0.2">
      <c r="B30" s="8"/>
      <c r="C30" s="77" t="s">
        <v>6</v>
      </c>
      <c r="D30" s="78"/>
      <c r="E30" s="77"/>
      <c r="F30" s="78"/>
      <c r="G30" s="77" t="s">
        <v>6</v>
      </c>
      <c r="H30" s="78"/>
      <c r="I30" s="93"/>
      <c r="J30" s="94"/>
      <c r="K30" s="44"/>
      <c r="L30" s="17"/>
      <c r="M30" s="39"/>
      <c r="N30" s="40"/>
    </row>
    <row r="31" spans="2:14" ht="18" customHeight="1" x14ac:dyDescent="0.2">
      <c r="B31" s="6"/>
      <c r="C31" s="80" t="s">
        <v>24</v>
      </c>
      <c r="D31" s="81"/>
      <c r="E31" s="80"/>
      <c r="F31" s="81"/>
      <c r="G31" s="80" t="s">
        <v>24</v>
      </c>
      <c r="H31" s="81"/>
      <c r="I31" s="80"/>
      <c r="J31" s="95"/>
      <c r="K31" s="14"/>
      <c r="L31" s="17"/>
      <c r="M31" s="39"/>
      <c r="N31" s="40"/>
    </row>
    <row r="32" spans="2:14" ht="18" customHeight="1" x14ac:dyDescent="0.2">
      <c r="B32" s="8"/>
      <c r="C32" s="77"/>
      <c r="D32" s="78"/>
      <c r="E32" s="77"/>
      <c r="F32" s="78"/>
      <c r="G32" s="77"/>
      <c r="H32" s="78"/>
      <c r="I32" s="87"/>
      <c r="J32" s="88"/>
      <c r="K32" s="14"/>
      <c r="L32" s="17"/>
      <c r="M32" s="39"/>
      <c r="N32" s="40"/>
    </row>
    <row r="33" spans="2:14" ht="18" customHeight="1" x14ac:dyDescent="0.2">
      <c r="B33" s="7"/>
      <c r="C33" s="96"/>
      <c r="D33" s="97"/>
      <c r="E33" s="96"/>
      <c r="F33" s="97"/>
      <c r="G33" s="96"/>
      <c r="H33" s="97"/>
      <c r="I33" s="98"/>
      <c r="J33" s="99"/>
      <c r="K33" s="15"/>
      <c r="L33" s="20"/>
      <c r="M33" s="41"/>
      <c r="N33" s="42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VLOOKUP(DAY(C4),DíasDeTareas,1,FALSE)=DAY(C4)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37</vt:i4>
      </vt:variant>
    </vt:vector>
  </HeadingPairs>
  <TitlesOfParts>
    <vt:vector size="4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Abril!DíasDeTareas</vt:lpstr>
      <vt:lpstr>Agosto!DíasDeTareas</vt:lpstr>
      <vt:lpstr>Diciembre!DíasDeTareas</vt:lpstr>
      <vt:lpstr>Febrero!DíasDeTareas</vt:lpstr>
      <vt:lpstr>Julio!DíasDeTareas</vt:lpstr>
      <vt:lpstr>Junio!DíasDeTareas</vt:lpstr>
      <vt:lpstr>Marzo!DíasDeTareas</vt:lpstr>
      <vt:lpstr>Mayo!DíasDeTareas</vt:lpstr>
      <vt:lpstr>Noviembre!DíasDeTareas</vt:lpstr>
      <vt:lpstr>Octubre!DíasDeTareas</vt:lpstr>
      <vt:lpstr>Septiembre!DíasDeTareas</vt:lpstr>
      <vt:lpstr>DíasDeTareas</vt:lpstr>
      <vt:lpstr>Abril!TablaFechasImportantes</vt:lpstr>
      <vt:lpstr>Agosto!TablaFechasImportantes</vt:lpstr>
      <vt:lpstr>Diciembre!TablaFechasImportantes</vt:lpstr>
      <vt:lpstr>Febrero!TablaFechasImportantes</vt:lpstr>
      <vt:lpstr>Julio!TablaFechasImportantes</vt:lpstr>
      <vt:lpstr>Junio!TablaFechasImportantes</vt:lpstr>
      <vt:lpstr>Marzo!TablaFechasImportantes</vt:lpstr>
      <vt:lpstr>Mayo!TablaFechasImportantes</vt:lpstr>
      <vt:lpstr>Noviembre!TablaFechasImportantes</vt:lpstr>
      <vt:lpstr>Octubre!TablaFechasImportantes</vt:lpstr>
      <vt:lpstr>Septiembre!TablaFechasImportantes</vt:lpstr>
      <vt:lpstr>TablaFechasImportantes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Martinez</dc:creator>
  <cp:lastModifiedBy>Isaac Navarro </cp:lastModifiedBy>
  <cp:lastPrinted>2010-12-16T21:23:33Z</cp:lastPrinted>
  <dcterms:created xsi:type="dcterms:W3CDTF">2019-02-05T17:43:14Z</dcterms:created>
  <dcterms:modified xsi:type="dcterms:W3CDTF">2020-01-21T00:12:11Z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